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1"/>
  </bookViews>
  <sheets>
    <sheet name="motors" sheetId="1" r:id="rId1"/>
    <sheet name="robot acceleration" sheetId="2" r:id="rId2"/>
    <sheet name="example results" sheetId="3" r:id="rId3"/>
  </sheets>
  <definedNames/>
  <calcPr fullCalcOnLoad="1"/>
</workbook>
</file>

<file path=xl/sharedStrings.xml><?xml version="1.0" encoding="utf-8"?>
<sst xmlns="http://schemas.openxmlformats.org/spreadsheetml/2006/main" count="124" uniqueCount="80">
  <si>
    <t>Nmotor</t>
  </si>
  <si>
    <t>Tmotor</t>
  </si>
  <si>
    <t>Pmotor</t>
  </si>
  <si>
    <t>(rpm)</t>
  </si>
  <si>
    <t>(Nm)</t>
  </si>
  <si>
    <t>Fstatic (N)</t>
  </si>
  <si>
    <t>ndriveline</t>
  </si>
  <si>
    <t>I @motor</t>
  </si>
  <si>
    <t>timestep</t>
  </si>
  <si>
    <t>ntires</t>
  </si>
  <si>
    <t>I @wheels</t>
  </si>
  <si>
    <t>time</t>
  </si>
  <si>
    <t>v</t>
  </si>
  <si>
    <t>distance</t>
  </si>
  <si>
    <t>Ngb,out</t>
  </si>
  <si>
    <t>Tgb,out</t>
  </si>
  <si>
    <t>dv/dt</t>
  </si>
  <si>
    <t>Current</t>
  </si>
  <si>
    <t>Fpush</t>
  </si>
  <si>
    <t>(sec)</t>
  </si>
  <si>
    <t>(m/s)</t>
  </si>
  <si>
    <t>(mph)</t>
  </si>
  <si>
    <t>(m)</t>
  </si>
  <si>
    <t>(m/s^2)</t>
  </si>
  <si>
    <t>(g)</t>
  </si>
  <si>
    <t>(A)</t>
  </si>
  <si>
    <t>(N)</t>
  </si>
  <si>
    <t>drive sprocket # of teeth</t>
  </si>
  <si>
    <t>driven sprocket # of teeth</t>
  </si>
  <si>
    <t>GEAR RATIO INPUT DATA</t>
  </si>
  <si>
    <t>drive wheel radius (m)</t>
  </si>
  <si>
    <t>mass of robot (kg)</t>
  </si>
  <si>
    <t>ROBOT INPUT DATA</t>
  </si>
  <si>
    <t>GEARBOX CONSTANTS</t>
  </si>
  <si>
    <t>USE AT YOUR OWN RISK, NO WARRANTY IMPLIED</t>
  </si>
  <si>
    <t>KEN PATTON       GM POWERTRAIN        TEAM 65</t>
  </si>
  <si>
    <t>robot</t>
  </si>
  <si>
    <t>traveled</t>
  </si>
  <si>
    <t>EFFIC CONSTANTS</t>
  </si>
  <si>
    <t>(rad/s)</t>
  </si>
  <si>
    <t>(kW)</t>
  </si>
  <si>
    <t>12/25/2003 FIRST DRIVE SYSTEM SIMULATOR v3</t>
  </si>
  <si>
    <t>This spreadsheet determines the motor torque curves for the robot.</t>
  </si>
  <si>
    <t>Motor Speed (rpm)</t>
  </si>
  <si>
    <t>Motor Torque (Nm)</t>
  </si>
  <si>
    <t>Motor Power (kW)</t>
  </si>
  <si>
    <t>1 Drill Motor (no gearbox attached)</t>
  </si>
  <si>
    <t>1 CIM Motor</t>
  </si>
  <si>
    <t>1 Fisher-Price Motor (no gearbox attached)</t>
  </si>
  <si>
    <t>stall</t>
  </si>
  <si>
    <t>peak power</t>
  </si>
  <si>
    <t>free speed</t>
  </si>
  <si>
    <t>Current Draw (A @ 12V)</t>
  </si>
  <si>
    <t>2003 motor specs</t>
  </si>
  <si>
    <t>total how many drill motors are used?</t>
  </si>
  <si>
    <t>total how many CIM motors are used?</t>
  </si>
  <si>
    <t>total how many Fisher-Price motors are used?</t>
  </si>
  <si>
    <t>what is the speed ratio for the drill:CIM?</t>
  </si>
  <si>
    <t>what is the speed ratio for the drill:F-P?</t>
  </si>
  <si>
    <t>Composite Motor Data for each of the motors used on the robot; torque and speed data is reflected to the drill motor shaft</t>
  </si>
  <si>
    <t>Summed Motor Data for all of the motors; everything reflected to the drill motor shaft</t>
  </si>
  <si>
    <t>inputs in the motors spreadsheet.</t>
  </si>
  <si>
    <t>This motor curve is used, based on the</t>
  </si>
  <si>
    <t>all motors</t>
  </si>
  <si>
    <t>gearbox efficiency (not rest of driveline)</t>
  </si>
  <si>
    <t>current</t>
  </si>
  <si>
    <t>On the robot spreadsheet the calculations reflect all of the motor torques to the shaft of the drill motor, so speed ratios are needed</t>
  </si>
  <si>
    <t>This spreadsheet allows the user to combine drill, CIM, and Fisher-Price motors.</t>
  </si>
  <si>
    <t>Approx</t>
  </si>
  <si>
    <t>gearbox ratio (drill motor speed : output speed)</t>
  </si>
  <si>
    <t>gearbox spin loss at output side (Nm)</t>
  </si>
  <si>
    <t>ft/s</t>
  </si>
  <si>
    <t>motors used</t>
  </si>
  <si>
    <t>gear ratio @ drill</t>
  </si>
  <si>
    <t>time to top speed (sec)</t>
  </si>
  <si>
    <t>top speed (m/s)</t>
  </si>
  <si>
    <t>2 drills only</t>
  </si>
  <si>
    <t>2 drills + 2 CIMs</t>
  </si>
  <si>
    <t>2 drills + 2 CIMs + 2 F-Ps</t>
  </si>
  <si>
    <t>current @ 1 sec (A)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</si>
</sst>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3"/>
      <name val="Arial"/>
      <family val="2"/>
    </font>
    <font>
      <b/>
      <sz val="10"/>
      <color indexed="1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4" fontId="0" fillId="4" borderId="0" xfId="0" applyNumberFormat="1" applyFont="1" applyFill="1" applyAlignment="1">
      <alignment/>
    </xf>
    <xf numFmtId="165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5" borderId="2" xfId="0" applyFill="1" applyBorder="1" applyAlignment="1">
      <alignment/>
    </xf>
    <xf numFmtId="165" fontId="0" fillId="5" borderId="2" xfId="0" applyNumberForma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6" borderId="2" xfId="0" applyFill="1" applyBorder="1" applyAlignment="1">
      <alignment horizontal="center" wrapText="1"/>
    </xf>
    <xf numFmtId="0" fontId="0" fillId="6" borderId="2" xfId="0" applyFill="1" applyBorder="1" applyAlignment="1">
      <alignment horizontal="right"/>
    </xf>
    <xf numFmtId="1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" fontId="0" fillId="5" borderId="2" xfId="0" applyNumberFormat="1" applyFon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3" xfId="0" applyFill="1" applyBorder="1" applyAlignment="1">
      <alignment horizontal="center" wrapText="1"/>
    </xf>
    <xf numFmtId="1" fontId="0" fillId="2" borderId="2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" fontId="0" fillId="6" borderId="2" xfId="0" applyNumberFormat="1" applyFill="1" applyBorder="1" applyAlignment="1">
      <alignment/>
    </xf>
    <xf numFmtId="165" fontId="0" fillId="6" borderId="2" xfId="0" applyNumberFormat="1" applyFill="1" applyBorder="1" applyAlignment="1">
      <alignment/>
    </xf>
    <xf numFmtId="0" fontId="0" fillId="6" borderId="5" xfId="0" applyFill="1" applyBorder="1" applyAlignment="1">
      <alignment horizontal="center"/>
    </xf>
    <xf numFmtId="165" fontId="0" fillId="6" borderId="4" xfId="0" applyNumberFormat="1" applyFill="1" applyBorder="1" applyAlignment="1">
      <alignment/>
    </xf>
    <xf numFmtId="165" fontId="0" fillId="6" borderId="6" xfId="0" applyNumberFormat="1" applyFill="1" applyBorder="1" applyAlignment="1">
      <alignment/>
    </xf>
    <xf numFmtId="165" fontId="0" fillId="6" borderId="3" xfId="0" applyNumberFormat="1" applyFill="1" applyBorder="1" applyAlignment="1">
      <alignment/>
    </xf>
    <xf numFmtId="1" fontId="0" fillId="6" borderId="3" xfId="0" applyNumberFormat="1" applyFill="1" applyBorder="1" applyAlignment="1">
      <alignment/>
    </xf>
    <xf numFmtId="1" fontId="0" fillId="6" borderId="4" xfId="0" applyNumberFormat="1" applyFill="1" applyBorder="1" applyAlignment="1">
      <alignment/>
    </xf>
    <xf numFmtId="1" fontId="0" fillId="6" borderId="6" xfId="0" applyNumberFormat="1" applyFill="1" applyBorder="1" applyAlignment="1">
      <alignment/>
    </xf>
    <xf numFmtId="1" fontId="0" fillId="6" borderId="7" xfId="0" applyNumberFormat="1" applyFill="1" applyBorder="1" applyAlignment="1">
      <alignment/>
    </xf>
    <xf numFmtId="1" fontId="0" fillId="6" borderId="8" xfId="0" applyNumberFormat="1" applyFill="1" applyBorder="1" applyAlignment="1">
      <alignment/>
    </xf>
    <xf numFmtId="1" fontId="0" fillId="6" borderId="9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0" fontId="0" fillId="6" borderId="2" xfId="0" applyFill="1" applyBorder="1" applyAlignment="1">
      <alignment horizontal="center"/>
    </xf>
    <xf numFmtId="165" fontId="0" fillId="6" borderId="7" xfId="0" applyNumberFormat="1" applyFill="1" applyBorder="1" applyAlignment="1">
      <alignment/>
    </xf>
    <xf numFmtId="0" fontId="0" fillId="0" borderId="2" xfId="0" applyBorder="1" applyAlignment="1">
      <alignment horizontal="center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475"/>
          <c:w val="0.8975"/>
          <c:h val="0.8"/>
        </c:manualLayout>
      </c:layout>
      <c:scatterChart>
        <c:scatterStyle val="line"/>
        <c:varyColors val="0"/>
        <c:ser>
          <c:idx val="0"/>
          <c:order val="0"/>
          <c:tx>
            <c:v>drills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motors!$B$31:$B$41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motors!$C$31:$C$41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CIMs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motors!$G$31:$G$41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motors!$H$31:$H$41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F-Ps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motors!$L$31:$L$41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motors!$M$31:$M$41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2597417"/>
        <c:axId val="2050162"/>
      </c:scatterChart>
      <c:valAx>
        <c:axId val="225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drill motor 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0162"/>
        <c:crosses val="autoZero"/>
        <c:crossBetween val="midCat"/>
        <c:dispUnits/>
      </c:valAx>
      <c:valAx>
        <c:axId val="2050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torque reflected to drill motor shaft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974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81"/>
          <c:h val="0.84825"/>
        </c:manualLayout>
      </c:layout>
      <c:scatterChart>
        <c:scatterStyle val="line"/>
        <c:varyColors val="0"/>
        <c:ser>
          <c:idx val="0"/>
          <c:order val="0"/>
          <c:tx>
            <c:v>drills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motors!$B$46:$B$56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motors!$C$46:$C$56</c:f>
              <c:numCache>
                <c:ptCount val="11"/>
                <c:pt idx="0">
                  <c:v>1.74</c:v>
                </c:pt>
                <c:pt idx="1">
                  <c:v>1.566</c:v>
                </c:pt>
                <c:pt idx="2">
                  <c:v>1.392</c:v>
                </c:pt>
                <c:pt idx="3">
                  <c:v>1.218</c:v>
                </c:pt>
                <c:pt idx="4">
                  <c:v>1.044</c:v>
                </c:pt>
                <c:pt idx="5">
                  <c:v>0.87</c:v>
                </c:pt>
                <c:pt idx="6">
                  <c:v>0.696</c:v>
                </c:pt>
                <c:pt idx="7">
                  <c:v>0.522</c:v>
                </c:pt>
                <c:pt idx="8">
                  <c:v>0.34799999999999986</c:v>
                </c:pt>
                <c:pt idx="9">
                  <c:v>0.17399999999999993</c:v>
                </c:pt>
                <c:pt idx="10">
                  <c:v>0</c:v>
                </c:pt>
              </c:numCache>
            </c:numRef>
          </c:yVal>
          <c:smooth val="0"/>
        </c:ser>
        <c:axId val="18451459"/>
        <c:axId val="31845404"/>
      </c:scatterChart>
      <c:valAx>
        <c:axId val="1845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drill motor 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45404"/>
        <c:crosses val="autoZero"/>
        <c:crossBetween val="midCat"/>
        <c:dispUnits/>
      </c:valAx>
      <c:valAx>
        <c:axId val="3184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torque reflected to drill motor shaft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14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ROBOT DRIVE SYSTEM SIMULATION
VELOCITY 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8475"/>
          <c:w val="0.84675"/>
          <c:h val="0.637"/>
        </c:manualLayout>
      </c:layout>
      <c:scatterChart>
        <c:scatterStyle val="line"/>
        <c:varyColors val="0"/>
        <c:ser>
          <c:idx val="0"/>
          <c:order val="0"/>
          <c:tx>
            <c:v>velocity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'robot acceleration'!$A$21:$A$177</c:f>
              <c:numCache>
                <c:ptCount val="1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  <c:pt idx="121">
                  <c:v>6.0499999999999865</c:v>
                </c:pt>
                <c:pt idx="122">
                  <c:v>6.099999999999986</c:v>
                </c:pt>
                <c:pt idx="123">
                  <c:v>6.149999999999986</c:v>
                </c:pt>
                <c:pt idx="124">
                  <c:v>6.199999999999986</c:v>
                </c:pt>
                <c:pt idx="125">
                  <c:v>6.249999999999986</c:v>
                </c:pt>
                <c:pt idx="126">
                  <c:v>6.299999999999986</c:v>
                </c:pt>
                <c:pt idx="127">
                  <c:v>6.349999999999985</c:v>
                </c:pt>
                <c:pt idx="128">
                  <c:v>6.399999999999985</c:v>
                </c:pt>
                <c:pt idx="129">
                  <c:v>6.449999999999985</c:v>
                </c:pt>
                <c:pt idx="130">
                  <c:v>6.499999999999985</c:v>
                </c:pt>
                <c:pt idx="131">
                  <c:v>6.549999999999985</c:v>
                </c:pt>
                <c:pt idx="132">
                  <c:v>6.5999999999999845</c:v>
                </c:pt>
                <c:pt idx="133">
                  <c:v>6.649999999999984</c:v>
                </c:pt>
                <c:pt idx="134">
                  <c:v>6.699999999999984</c:v>
                </c:pt>
                <c:pt idx="135">
                  <c:v>6.749999999999984</c:v>
                </c:pt>
                <c:pt idx="136">
                  <c:v>6.799999999999984</c:v>
                </c:pt>
                <c:pt idx="137">
                  <c:v>6.849999999999984</c:v>
                </c:pt>
                <c:pt idx="138">
                  <c:v>6.8999999999999835</c:v>
                </c:pt>
                <c:pt idx="139">
                  <c:v>6.949999999999983</c:v>
                </c:pt>
                <c:pt idx="140">
                  <c:v>6.999999999999983</c:v>
                </c:pt>
                <c:pt idx="141">
                  <c:v>7.049999999999983</c:v>
                </c:pt>
                <c:pt idx="142">
                  <c:v>7.099999999999983</c:v>
                </c:pt>
                <c:pt idx="143">
                  <c:v>7.149999999999983</c:v>
                </c:pt>
                <c:pt idx="144">
                  <c:v>7.199999999999982</c:v>
                </c:pt>
                <c:pt idx="145">
                  <c:v>7.249999999999982</c:v>
                </c:pt>
                <c:pt idx="146">
                  <c:v>7.299999999999982</c:v>
                </c:pt>
                <c:pt idx="147">
                  <c:v>7.349999999999982</c:v>
                </c:pt>
                <c:pt idx="148">
                  <c:v>7.399999999999982</c:v>
                </c:pt>
                <c:pt idx="149">
                  <c:v>7.4499999999999815</c:v>
                </c:pt>
                <c:pt idx="150">
                  <c:v>7.499999999999981</c:v>
                </c:pt>
                <c:pt idx="151">
                  <c:v>7.549999999999981</c:v>
                </c:pt>
                <c:pt idx="152">
                  <c:v>7.599999999999981</c:v>
                </c:pt>
                <c:pt idx="153">
                  <c:v>7.649999999999981</c:v>
                </c:pt>
                <c:pt idx="154">
                  <c:v>7.699999999999981</c:v>
                </c:pt>
                <c:pt idx="155">
                  <c:v>7.7499999999999805</c:v>
                </c:pt>
                <c:pt idx="156">
                  <c:v>7.79999999999998</c:v>
                </c:pt>
              </c:numCache>
            </c:numRef>
          </c:xVal>
          <c:yVal>
            <c:numRef>
              <c:f>'robot acceleration'!$B$21:$B$177</c:f>
              <c:numCache>
                <c:ptCount val="157"/>
                <c:pt idx="0">
                  <c:v>0</c:v>
                </c:pt>
                <c:pt idx="1">
                  <c:v>0.6986945140258146</c:v>
                </c:pt>
                <c:pt idx="2">
                  <c:v>1.2101800532650182</c:v>
                </c:pt>
                <c:pt idx="3">
                  <c:v>1.584617595851982</c:v>
                </c:pt>
                <c:pt idx="4">
                  <c:v>1.8587279323966013</c:v>
                </c:pt>
                <c:pt idx="5">
                  <c:v>2.059392844577927</c:v>
                </c:pt>
                <c:pt idx="6">
                  <c:v>2.2062913799937367</c:v>
                </c:pt>
                <c:pt idx="7">
                  <c:v>2.3138297606340466</c:v>
                </c:pt>
                <c:pt idx="8">
                  <c:v>2.392554189560488</c:v>
                </c:pt>
                <c:pt idx="9">
                  <c:v>2.4501851086136917</c:v>
                </c:pt>
                <c:pt idx="10">
                  <c:v>2.4923743359756365</c:v>
                </c:pt>
                <c:pt idx="11">
                  <c:v>2.523259335462712</c:v>
                </c:pt>
                <c:pt idx="12">
                  <c:v>2.5458689742961806</c:v>
                </c:pt>
                <c:pt idx="13">
                  <c:v>2.562420561690372</c:v>
                </c:pt>
                <c:pt idx="14">
                  <c:v>2.574537298595608</c:v>
                </c:pt>
                <c:pt idx="15">
                  <c:v>2.583407463718395</c:v>
                </c:pt>
                <c:pt idx="16">
                  <c:v>2.589900947064683</c:v>
                </c:pt>
                <c:pt idx="17">
                  <c:v>2.594654559357672</c:v>
                </c:pt>
                <c:pt idx="18">
                  <c:v>2.598134483556595</c:v>
                </c:pt>
                <c:pt idx="19">
                  <c:v>2.6006819930470333</c:v>
                </c:pt>
                <c:pt idx="20">
                  <c:v>2.6025469200491447</c:v>
                </c:pt>
                <c:pt idx="21">
                  <c:v>2.6039121564638696</c:v>
                </c:pt>
                <c:pt idx="22">
                  <c:v>2.604911589935518</c:v>
                </c:pt>
                <c:pt idx="23">
                  <c:v>2.605643234106065</c:v>
                </c:pt>
                <c:pt idx="24">
                  <c:v>2.6061788407347</c:v>
                </c:pt>
                <c:pt idx="25">
                  <c:v>2.6065709363355216</c:v>
                </c:pt>
                <c:pt idx="26">
                  <c:v>2.6068579734108006</c:v>
                </c:pt>
                <c:pt idx="27">
                  <c:v>2.607068101457155</c:v>
                </c:pt>
                <c:pt idx="28">
                  <c:v>2.6072219275641895</c:v>
                </c:pt>
                <c:pt idx="29">
                  <c:v>2.607334537335307</c:v>
                </c:pt>
                <c:pt idx="30">
                  <c:v>2.607416974320781</c:v>
                </c:pt>
                <c:pt idx="31">
                  <c:v>2.6074773230499066</c:v>
                </c:pt>
                <c:pt idx="32">
                  <c:v>2.6075215018743276</c:v>
                </c:pt>
                <c:pt idx="33">
                  <c:v>2.607553843376055</c:v>
                </c:pt>
                <c:pt idx="34">
                  <c:v>2.60757751926032</c:v>
                </c:pt>
                <c:pt idx="35">
                  <c:v>2.6075948514021747</c:v>
                </c:pt>
                <c:pt idx="36">
                  <c:v>2.607607539550922</c:v>
                </c:pt>
                <c:pt idx="37">
                  <c:v>2.6076168280231706</c:v>
                </c:pt>
                <c:pt idx="38">
                  <c:v>2.6076236277319724</c:v>
                </c:pt>
                <c:pt idx="39">
                  <c:v>2.6076286055193365</c:v>
                </c:pt>
                <c:pt idx="40">
                  <c:v>2.607632249552892</c:v>
                </c:pt>
                <c:pt idx="41">
                  <c:v>2.6076349172000977</c:v>
                </c:pt>
                <c:pt idx="42">
                  <c:v>2.607636870074984</c:v>
                </c:pt>
                <c:pt idx="43">
                  <c:v>2.6076382996944303</c:v>
                </c:pt>
                <c:pt idx="44">
                  <c:v>2.6076393462600733</c:v>
                </c:pt>
                <c:pt idx="45">
                  <c:v>2.6076401124077697</c:v>
                </c:pt>
                <c:pt idx="46">
                  <c:v>2.6076406732730115</c:v>
                </c:pt>
                <c:pt idx="47">
                  <c:v>2.607641083859405</c:v>
                </c:pt>
                <c:pt idx="48">
                  <c:v>2.6076413844328297</c:v>
                </c:pt>
                <c:pt idx="49">
                  <c:v>2.607641604470281</c:v>
                </c:pt>
                <c:pt idx="50">
                  <c:v>2.6076417655506563</c:v>
                </c:pt>
                <c:pt idx="51">
                  <c:v>2.607641883470979</c:v>
                </c:pt>
                <c:pt idx="52">
                  <c:v>2.6076419697956013</c:v>
                </c:pt>
                <c:pt idx="53">
                  <c:v>2.6076420329903094</c:v>
                </c:pt>
                <c:pt idx="54">
                  <c:v>2.607642079252558</c:v>
                </c:pt>
                <c:pt idx="55">
                  <c:v>2.607642113119249</c:v>
                </c:pt>
                <c:pt idx="56">
                  <c:v>2.6076421379116614</c:v>
                </c:pt>
                <c:pt idx="57">
                  <c:v>2.607642156061168</c:v>
                </c:pt>
                <c:pt idx="58">
                  <c:v>2.6076421693476752</c:v>
                </c:pt>
                <c:pt idx="59">
                  <c:v>2.6076421790741815</c:v>
                </c:pt>
                <c:pt idx="60">
                  <c:v>2.607642186194557</c:v>
                </c:pt>
                <c:pt idx="61">
                  <c:v>2.6076421914070913</c:v>
                </c:pt>
                <c:pt idx="62">
                  <c:v>2.6076421952229736</c:v>
                </c:pt>
                <c:pt idx="63">
                  <c:v>2.607642198016424</c:v>
                </c:pt>
                <c:pt idx="64">
                  <c:v>2.6076422000613944</c:v>
                </c:pt>
                <c:pt idx="65">
                  <c:v>2.607642201558433</c:v>
                </c:pt>
                <c:pt idx="66">
                  <c:v>2.6076422026543535</c:v>
                </c:pt>
                <c:pt idx="67">
                  <c:v>2.607642203456632</c:v>
                </c:pt>
                <c:pt idx="68">
                  <c:v>2.607642204043947</c:v>
                </c:pt>
                <c:pt idx="69">
                  <c:v>2.6076422044738963</c:v>
                </c:pt>
                <c:pt idx="70">
                  <c:v>2.6076422047886445</c:v>
                </c:pt>
                <c:pt idx="71">
                  <c:v>2.607642205019059</c:v>
                </c:pt>
                <c:pt idx="72">
                  <c:v>2.6076422051877355</c:v>
                </c:pt>
                <c:pt idx="73">
                  <c:v>2.6076422053112167</c:v>
                </c:pt>
                <c:pt idx="74">
                  <c:v>2.6076422054016124</c:v>
                </c:pt>
                <c:pt idx="75">
                  <c:v>2.607642205467787</c:v>
                </c:pt>
                <c:pt idx="76">
                  <c:v>2.607642205516231</c:v>
                </c:pt>
                <c:pt idx="77">
                  <c:v>2.607642205551695</c:v>
                </c:pt>
                <c:pt idx="78">
                  <c:v>2.6076422055776565</c:v>
                </c:pt>
                <c:pt idx="79">
                  <c:v>2.6076422055966617</c:v>
                </c:pt>
                <c:pt idx="80">
                  <c:v>2.607642205610575</c:v>
                </c:pt>
                <c:pt idx="81">
                  <c:v>2.60764220562076</c:v>
                </c:pt>
                <c:pt idx="82">
                  <c:v>2.6076422056282165</c:v>
                </c:pt>
                <c:pt idx="83">
                  <c:v>2.6076422056336748</c:v>
                </c:pt>
                <c:pt idx="84">
                  <c:v>2.6076422056376707</c:v>
                </c:pt>
                <c:pt idx="85">
                  <c:v>2.607642205640596</c:v>
                </c:pt>
                <c:pt idx="86">
                  <c:v>2.6076422056427373</c:v>
                </c:pt>
                <c:pt idx="87">
                  <c:v>2.607642205644305</c:v>
                </c:pt>
                <c:pt idx="88">
                  <c:v>2.6076422056454525</c:v>
                </c:pt>
                <c:pt idx="89">
                  <c:v>2.6076422056462927</c:v>
                </c:pt>
                <c:pt idx="90">
                  <c:v>2.6076422056469077</c:v>
                </c:pt>
                <c:pt idx="91">
                  <c:v>2.607642205647358</c:v>
                </c:pt>
                <c:pt idx="92">
                  <c:v>2.6076422056476876</c:v>
                </c:pt>
                <c:pt idx="93">
                  <c:v>2.6076422056479287</c:v>
                </c:pt>
                <c:pt idx="94">
                  <c:v>2.6076422056481054</c:v>
                </c:pt>
                <c:pt idx="95">
                  <c:v>2.6076422056482347</c:v>
                </c:pt>
                <c:pt idx="96">
                  <c:v>2.6076422056483293</c:v>
                </c:pt>
                <c:pt idx="97">
                  <c:v>2.6076422056483985</c:v>
                </c:pt>
                <c:pt idx="98">
                  <c:v>2.607642205648449</c:v>
                </c:pt>
                <c:pt idx="99">
                  <c:v>2.6076422056484865</c:v>
                </c:pt>
                <c:pt idx="100">
                  <c:v>2.6076422056485136</c:v>
                </c:pt>
                <c:pt idx="101">
                  <c:v>2.607642205648533</c:v>
                </c:pt>
                <c:pt idx="102">
                  <c:v>2.6076422056485478</c:v>
                </c:pt>
                <c:pt idx="103">
                  <c:v>2.6076422056485584</c:v>
                </c:pt>
                <c:pt idx="104">
                  <c:v>2.6076422056485664</c:v>
                </c:pt>
                <c:pt idx="105">
                  <c:v>2.607642205648572</c:v>
                </c:pt>
                <c:pt idx="106">
                  <c:v>2.607642205648576</c:v>
                </c:pt>
                <c:pt idx="107">
                  <c:v>2.6076422056485793</c:v>
                </c:pt>
                <c:pt idx="108">
                  <c:v>2.6076422056485815</c:v>
                </c:pt>
                <c:pt idx="109">
                  <c:v>2.6076422056485833</c:v>
                </c:pt>
                <c:pt idx="110">
                  <c:v>2.6076422056485846</c:v>
                </c:pt>
                <c:pt idx="111">
                  <c:v>2.6076422056485855</c:v>
                </c:pt>
                <c:pt idx="112">
                  <c:v>2.607642205648586</c:v>
                </c:pt>
                <c:pt idx="113">
                  <c:v>2.6076422056485864</c:v>
                </c:pt>
                <c:pt idx="114">
                  <c:v>2.607642205648587</c:v>
                </c:pt>
                <c:pt idx="115">
                  <c:v>2.6076422056485873</c:v>
                </c:pt>
                <c:pt idx="116">
                  <c:v>2.6076422056485873</c:v>
                </c:pt>
                <c:pt idx="117">
                  <c:v>2.6076422056485873</c:v>
                </c:pt>
                <c:pt idx="118">
                  <c:v>2.6076422056485873</c:v>
                </c:pt>
                <c:pt idx="119">
                  <c:v>2.6076422056485873</c:v>
                </c:pt>
                <c:pt idx="120">
                  <c:v>2.6076422056485873</c:v>
                </c:pt>
                <c:pt idx="121">
                  <c:v>2.6076422056485873</c:v>
                </c:pt>
                <c:pt idx="122">
                  <c:v>2.6076422056485873</c:v>
                </c:pt>
                <c:pt idx="123">
                  <c:v>2.6076422056485873</c:v>
                </c:pt>
                <c:pt idx="124">
                  <c:v>2.6076422056485873</c:v>
                </c:pt>
                <c:pt idx="125">
                  <c:v>2.6076422056485873</c:v>
                </c:pt>
                <c:pt idx="126">
                  <c:v>2.6076422056485873</c:v>
                </c:pt>
                <c:pt idx="127">
                  <c:v>2.6076422056485873</c:v>
                </c:pt>
                <c:pt idx="128">
                  <c:v>2.6076422056485873</c:v>
                </c:pt>
                <c:pt idx="129">
                  <c:v>2.6076422056485873</c:v>
                </c:pt>
                <c:pt idx="130">
                  <c:v>2.6076422056485873</c:v>
                </c:pt>
                <c:pt idx="131">
                  <c:v>2.6076422056485873</c:v>
                </c:pt>
                <c:pt idx="132">
                  <c:v>2.6076422056485873</c:v>
                </c:pt>
                <c:pt idx="133">
                  <c:v>2.6076422056485873</c:v>
                </c:pt>
                <c:pt idx="134">
                  <c:v>2.6076422056485873</c:v>
                </c:pt>
                <c:pt idx="135">
                  <c:v>2.6076422056485873</c:v>
                </c:pt>
                <c:pt idx="136">
                  <c:v>2.6076422056485873</c:v>
                </c:pt>
                <c:pt idx="137">
                  <c:v>2.6076422056485873</c:v>
                </c:pt>
                <c:pt idx="138">
                  <c:v>2.6076422056485873</c:v>
                </c:pt>
                <c:pt idx="139">
                  <c:v>2.6076422056485873</c:v>
                </c:pt>
                <c:pt idx="140">
                  <c:v>2.6076422056485873</c:v>
                </c:pt>
                <c:pt idx="141">
                  <c:v>2.6076422056485873</c:v>
                </c:pt>
                <c:pt idx="142">
                  <c:v>2.6076422056485873</c:v>
                </c:pt>
                <c:pt idx="143">
                  <c:v>2.6076422056485873</c:v>
                </c:pt>
                <c:pt idx="144">
                  <c:v>2.6076422056485873</c:v>
                </c:pt>
                <c:pt idx="145">
                  <c:v>2.6076422056485873</c:v>
                </c:pt>
                <c:pt idx="146">
                  <c:v>2.6076422056485873</c:v>
                </c:pt>
                <c:pt idx="147">
                  <c:v>2.6076422056485873</c:v>
                </c:pt>
                <c:pt idx="148">
                  <c:v>2.6076422056485873</c:v>
                </c:pt>
                <c:pt idx="149">
                  <c:v>2.6076422056485873</c:v>
                </c:pt>
                <c:pt idx="150">
                  <c:v>2.6076422056485873</c:v>
                </c:pt>
                <c:pt idx="151">
                  <c:v>2.6076422056485873</c:v>
                </c:pt>
                <c:pt idx="152">
                  <c:v>2.6076422056485873</c:v>
                </c:pt>
                <c:pt idx="153">
                  <c:v>2.6076422056485873</c:v>
                </c:pt>
                <c:pt idx="154">
                  <c:v>2.6076422056485873</c:v>
                </c:pt>
                <c:pt idx="155">
                  <c:v>2.6076422056485873</c:v>
                </c:pt>
                <c:pt idx="156">
                  <c:v>2.6076422056485873</c:v>
                </c:pt>
              </c:numCache>
            </c:numRef>
          </c:yVal>
          <c:smooth val="0"/>
        </c:ser>
        <c:axId val="18173181"/>
        <c:axId val="29340902"/>
      </c:scatterChart>
      <c:valAx>
        <c:axId val="1817318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ELAPSED 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40902"/>
        <c:crosses val="autoZero"/>
        <c:crossBetween val="midCat"/>
        <c:dispUnits/>
      </c:valAx>
      <c:valAx>
        <c:axId val="2934090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173181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625"/>
          <c:y val="0.5405"/>
        </c:manualLayout>
      </c:layout>
      <c:overlay val="0"/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ROBOT DRIVE SYSTEM SIMULATION
DISTANCE TRAVELED 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7825"/>
          <c:w val="0.878"/>
          <c:h val="0.679"/>
        </c:manualLayout>
      </c:layout>
      <c:scatterChart>
        <c:scatterStyle val="line"/>
        <c:varyColors val="0"/>
        <c:ser>
          <c:idx val="0"/>
          <c:order val="0"/>
          <c:tx>
            <c:v>distance traveled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'robot acceleration'!$A$21:$A$177</c:f>
              <c:numCache>
                <c:ptCount val="1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  <c:pt idx="121">
                  <c:v>6.0499999999999865</c:v>
                </c:pt>
                <c:pt idx="122">
                  <c:v>6.099999999999986</c:v>
                </c:pt>
                <c:pt idx="123">
                  <c:v>6.149999999999986</c:v>
                </c:pt>
                <c:pt idx="124">
                  <c:v>6.199999999999986</c:v>
                </c:pt>
                <c:pt idx="125">
                  <c:v>6.249999999999986</c:v>
                </c:pt>
                <c:pt idx="126">
                  <c:v>6.299999999999986</c:v>
                </c:pt>
                <c:pt idx="127">
                  <c:v>6.349999999999985</c:v>
                </c:pt>
                <c:pt idx="128">
                  <c:v>6.399999999999985</c:v>
                </c:pt>
                <c:pt idx="129">
                  <c:v>6.449999999999985</c:v>
                </c:pt>
                <c:pt idx="130">
                  <c:v>6.499999999999985</c:v>
                </c:pt>
                <c:pt idx="131">
                  <c:v>6.549999999999985</c:v>
                </c:pt>
                <c:pt idx="132">
                  <c:v>6.5999999999999845</c:v>
                </c:pt>
                <c:pt idx="133">
                  <c:v>6.649999999999984</c:v>
                </c:pt>
                <c:pt idx="134">
                  <c:v>6.699999999999984</c:v>
                </c:pt>
                <c:pt idx="135">
                  <c:v>6.749999999999984</c:v>
                </c:pt>
                <c:pt idx="136">
                  <c:v>6.799999999999984</c:v>
                </c:pt>
                <c:pt idx="137">
                  <c:v>6.849999999999984</c:v>
                </c:pt>
                <c:pt idx="138">
                  <c:v>6.8999999999999835</c:v>
                </c:pt>
                <c:pt idx="139">
                  <c:v>6.949999999999983</c:v>
                </c:pt>
                <c:pt idx="140">
                  <c:v>6.999999999999983</c:v>
                </c:pt>
                <c:pt idx="141">
                  <c:v>7.049999999999983</c:v>
                </c:pt>
                <c:pt idx="142">
                  <c:v>7.099999999999983</c:v>
                </c:pt>
                <c:pt idx="143">
                  <c:v>7.149999999999983</c:v>
                </c:pt>
                <c:pt idx="144">
                  <c:v>7.199999999999982</c:v>
                </c:pt>
                <c:pt idx="145">
                  <c:v>7.249999999999982</c:v>
                </c:pt>
                <c:pt idx="146">
                  <c:v>7.299999999999982</c:v>
                </c:pt>
                <c:pt idx="147">
                  <c:v>7.349999999999982</c:v>
                </c:pt>
                <c:pt idx="148">
                  <c:v>7.399999999999982</c:v>
                </c:pt>
                <c:pt idx="149">
                  <c:v>7.4499999999999815</c:v>
                </c:pt>
                <c:pt idx="150">
                  <c:v>7.499999999999981</c:v>
                </c:pt>
                <c:pt idx="151">
                  <c:v>7.549999999999981</c:v>
                </c:pt>
                <c:pt idx="152">
                  <c:v>7.599999999999981</c:v>
                </c:pt>
                <c:pt idx="153">
                  <c:v>7.649999999999981</c:v>
                </c:pt>
                <c:pt idx="154">
                  <c:v>7.699999999999981</c:v>
                </c:pt>
                <c:pt idx="155">
                  <c:v>7.7499999999999805</c:v>
                </c:pt>
                <c:pt idx="156">
                  <c:v>7.79999999999998</c:v>
                </c:pt>
              </c:numCache>
            </c:numRef>
          </c:xVal>
          <c:yVal>
            <c:numRef>
              <c:f>'robot acceleration'!$D$21:$D$177</c:f>
              <c:numCache>
                <c:ptCount val="157"/>
                <c:pt idx="0">
                  <c:v>0</c:v>
                </c:pt>
                <c:pt idx="1">
                  <c:v>0.034934725701290734</c:v>
                </c:pt>
                <c:pt idx="2">
                  <c:v>0.09544372836454165</c:v>
                </c:pt>
                <c:pt idx="3">
                  <c:v>0.17467460815714075</c:v>
                </c:pt>
                <c:pt idx="4">
                  <c:v>0.2676110047769708</c:v>
                </c:pt>
                <c:pt idx="5">
                  <c:v>0.3705806470058672</c:v>
                </c:pt>
                <c:pt idx="6">
                  <c:v>0.480895216005554</c:v>
                </c:pt>
                <c:pt idx="7">
                  <c:v>0.5965867040372563</c:v>
                </c:pt>
                <c:pt idx="8">
                  <c:v>0.7162144135152807</c:v>
                </c:pt>
                <c:pt idx="9">
                  <c:v>0.8387236689459653</c:v>
                </c:pt>
                <c:pt idx="10">
                  <c:v>0.9633423857447472</c:v>
                </c:pt>
                <c:pt idx="11">
                  <c:v>1.0895053525178828</c:v>
                </c:pt>
                <c:pt idx="12">
                  <c:v>1.2167988012326918</c:v>
                </c:pt>
                <c:pt idx="13">
                  <c:v>1.3449198293172104</c:v>
                </c:pt>
                <c:pt idx="14">
                  <c:v>1.4736466942469908</c:v>
                </c:pt>
                <c:pt idx="15">
                  <c:v>1.6028170674329105</c:v>
                </c:pt>
                <c:pt idx="16">
                  <c:v>1.7323121147861447</c:v>
                </c:pt>
                <c:pt idx="17">
                  <c:v>1.8620448427540284</c:v>
                </c:pt>
                <c:pt idx="18">
                  <c:v>1.9919515669318582</c:v>
                </c:pt>
                <c:pt idx="19">
                  <c:v>2.1219856665842096</c:v>
                </c:pt>
                <c:pt idx="20">
                  <c:v>2.252113012586667</c:v>
                </c:pt>
                <c:pt idx="21">
                  <c:v>2.3823086204098605</c:v>
                </c:pt>
                <c:pt idx="22">
                  <c:v>2.5125541999066363</c:v>
                </c:pt>
                <c:pt idx="23">
                  <c:v>2.6428363616119395</c:v>
                </c:pt>
                <c:pt idx="24">
                  <c:v>2.7731453036486746</c:v>
                </c:pt>
                <c:pt idx="25">
                  <c:v>2.903473850465451</c:v>
                </c:pt>
                <c:pt idx="26">
                  <c:v>3.033816749135991</c:v>
                </c:pt>
                <c:pt idx="27">
                  <c:v>3.1641701542088487</c:v>
                </c:pt>
                <c:pt idx="28">
                  <c:v>3.2945312505870583</c:v>
                </c:pt>
                <c:pt idx="29">
                  <c:v>3.4248979774538237</c:v>
                </c:pt>
                <c:pt idx="30">
                  <c:v>3.5552688261698626</c:v>
                </c:pt>
                <c:pt idx="31">
                  <c:v>3.6856426923223577</c:v>
                </c:pt>
                <c:pt idx="32">
                  <c:v>3.816018767416074</c:v>
                </c:pt>
                <c:pt idx="33">
                  <c:v>3.946396459584877</c:v>
                </c:pt>
                <c:pt idx="34">
                  <c:v>4.076775335547893</c:v>
                </c:pt>
                <c:pt idx="35">
                  <c:v>4.207155078118002</c:v>
                </c:pt>
                <c:pt idx="36">
                  <c:v>4.337535455095548</c:v>
                </c:pt>
                <c:pt idx="37">
                  <c:v>4.467916296496706</c:v>
                </c:pt>
                <c:pt idx="38">
                  <c:v>4.598297477883305</c:v>
                </c:pt>
                <c:pt idx="39">
                  <c:v>4.728678908159272</c:v>
                </c:pt>
                <c:pt idx="40">
                  <c:v>4.859060520636916</c:v>
                </c:pt>
                <c:pt idx="41">
                  <c:v>4.989442266496921</c:v>
                </c:pt>
                <c:pt idx="42">
                  <c:v>5.11982411000067</c:v>
                </c:pt>
                <c:pt idx="43">
                  <c:v>5.250206024985392</c:v>
                </c:pt>
                <c:pt idx="44">
                  <c:v>5.380587992298396</c:v>
                </c:pt>
                <c:pt idx="45">
                  <c:v>5.510969997918784</c:v>
                </c:pt>
                <c:pt idx="46">
                  <c:v>5.641352031582435</c:v>
                </c:pt>
                <c:pt idx="47">
                  <c:v>5.771734085775405</c:v>
                </c:pt>
                <c:pt idx="48">
                  <c:v>5.902116154997047</c:v>
                </c:pt>
                <c:pt idx="49">
                  <c:v>6.032498235220561</c:v>
                </c:pt>
                <c:pt idx="50">
                  <c:v>6.162880323498094</c:v>
                </c:pt>
                <c:pt idx="51">
                  <c:v>6.2932624176716425</c:v>
                </c:pt>
                <c:pt idx="52">
                  <c:v>6.423644516161422</c:v>
                </c:pt>
                <c:pt idx="53">
                  <c:v>6.554026617810938</c:v>
                </c:pt>
                <c:pt idx="54">
                  <c:v>6.684408721773566</c:v>
                </c:pt>
                <c:pt idx="55">
                  <c:v>6.814790827429528</c:v>
                </c:pt>
                <c:pt idx="56">
                  <c:v>6.945172934325111</c:v>
                </c:pt>
                <c:pt idx="57">
                  <c:v>7.075555042128169</c:v>
                </c:pt>
                <c:pt idx="58">
                  <c:v>7.2059371505955525</c:v>
                </c:pt>
                <c:pt idx="59">
                  <c:v>7.336319259549262</c:v>
                </c:pt>
                <c:pt idx="60">
                  <c:v>7.466701368858989</c:v>
                </c:pt>
                <c:pt idx="61">
                  <c:v>7.597083478429344</c:v>
                </c:pt>
                <c:pt idx="62">
                  <c:v>7.727465588190492</c:v>
                </c:pt>
                <c:pt idx="63">
                  <c:v>7.857847698091313</c:v>
                </c:pt>
                <c:pt idx="64">
                  <c:v>7.988229808094383</c:v>
                </c:pt>
                <c:pt idx="65">
                  <c:v>8.118611918172304</c:v>
                </c:pt>
                <c:pt idx="66">
                  <c:v>8.248994028305022</c:v>
                </c:pt>
                <c:pt idx="67">
                  <c:v>8.379376138477854</c:v>
                </c:pt>
                <c:pt idx="68">
                  <c:v>8.50975824868005</c:v>
                </c:pt>
                <c:pt idx="69">
                  <c:v>8.640140358903745</c:v>
                </c:pt>
                <c:pt idx="70">
                  <c:v>8.770522469143177</c:v>
                </c:pt>
                <c:pt idx="71">
                  <c:v>8.90090457939413</c:v>
                </c:pt>
                <c:pt idx="72">
                  <c:v>9.031286689653516</c:v>
                </c:pt>
                <c:pt idx="73">
                  <c:v>9.161668799919077</c:v>
                </c:pt>
                <c:pt idx="74">
                  <c:v>9.292050910189158</c:v>
                </c:pt>
                <c:pt idx="75">
                  <c:v>9.422433020462547</c:v>
                </c:pt>
                <c:pt idx="76">
                  <c:v>9.552815130738358</c:v>
                </c:pt>
                <c:pt idx="77">
                  <c:v>9.683197241015943</c:v>
                </c:pt>
                <c:pt idx="78">
                  <c:v>9.813579351294825</c:v>
                </c:pt>
                <c:pt idx="79">
                  <c:v>9.943961461574657</c:v>
                </c:pt>
                <c:pt idx="80">
                  <c:v>10.074343571855186</c:v>
                </c:pt>
                <c:pt idx="81">
                  <c:v>10.204725682136225</c:v>
                </c:pt>
                <c:pt idx="82">
                  <c:v>10.335107792417636</c:v>
                </c:pt>
                <c:pt idx="83">
                  <c:v>10.46548990269932</c:v>
                </c:pt>
                <c:pt idx="84">
                  <c:v>10.595872012981204</c:v>
                </c:pt>
                <c:pt idx="85">
                  <c:v>10.726254123263233</c:v>
                </c:pt>
                <c:pt idx="86">
                  <c:v>10.85663623354537</c:v>
                </c:pt>
                <c:pt idx="87">
                  <c:v>10.987018343827584</c:v>
                </c:pt>
                <c:pt idx="88">
                  <c:v>11.117400454109857</c:v>
                </c:pt>
                <c:pt idx="89">
                  <c:v>11.247782564392171</c:v>
                </c:pt>
                <c:pt idx="90">
                  <c:v>11.378164674674517</c:v>
                </c:pt>
                <c:pt idx="91">
                  <c:v>11.508546784956884</c:v>
                </c:pt>
                <c:pt idx="92">
                  <c:v>11.63892889523927</c:v>
                </c:pt>
                <c:pt idx="93">
                  <c:v>11.769311005521665</c:v>
                </c:pt>
                <c:pt idx="94">
                  <c:v>11.89969311580407</c:v>
                </c:pt>
                <c:pt idx="95">
                  <c:v>12.030075226086481</c:v>
                </c:pt>
                <c:pt idx="96">
                  <c:v>12.160457336368898</c:v>
                </c:pt>
                <c:pt idx="97">
                  <c:v>12.290839446651319</c:v>
                </c:pt>
                <c:pt idx="98">
                  <c:v>12.421221556933741</c:v>
                </c:pt>
                <c:pt idx="99">
                  <c:v>12.551603667216165</c:v>
                </c:pt>
                <c:pt idx="100">
                  <c:v>12.681985777498591</c:v>
                </c:pt>
                <c:pt idx="101">
                  <c:v>12.812367887781017</c:v>
                </c:pt>
                <c:pt idx="102">
                  <c:v>12.942749998063444</c:v>
                </c:pt>
                <c:pt idx="103">
                  <c:v>13.073132108345872</c:v>
                </c:pt>
                <c:pt idx="104">
                  <c:v>13.2035142186283</c:v>
                </c:pt>
                <c:pt idx="105">
                  <c:v>13.333896328910729</c:v>
                </c:pt>
                <c:pt idx="106">
                  <c:v>13.464278439193158</c:v>
                </c:pt>
                <c:pt idx="107">
                  <c:v>13.594660549475588</c:v>
                </c:pt>
                <c:pt idx="108">
                  <c:v>13.725042659758017</c:v>
                </c:pt>
                <c:pt idx="109">
                  <c:v>13.855424770040447</c:v>
                </c:pt>
                <c:pt idx="110">
                  <c:v>13.985806880322876</c:v>
                </c:pt>
                <c:pt idx="111">
                  <c:v>14.116188990605306</c:v>
                </c:pt>
                <c:pt idx="112">
                  <c:v>14.246571100887735</c:v>
                </c:pt>
                <c:pt idx="113">
                  <c:v>14.376953211170164</c:v>
                </c:pt>
                <c:pt idx="114">
                  <c:v>14.507335321452594</c:v>
                </c:pt>
                <c:pt idx="115">
                  <c:v>14.637717431735023</c:v>
                </c:pt>
                <c:pt idx="116">
                  <c:v>14.768099542017453</c:v>
                </c:pt>
                <c:pt idx="117">
                  <c:v>14.898481652299882</c:v>
                </c:pt>
                <c:pt idx="118">
                  <c:v>15.028863762582311</c:v>
                </c:pt>
                <c:pt idx="119">
                  <c:v>15.15924587286474</c:v>
                </c:pt>
                <c:pt idx="120">
                  <c:v>15.28962798314717</c:v>
                </c:pt>
                <c:pt idx="121">
                  <c:v>15.4200100934296</c:v>
                </c:pt>
                <c:pt idx="122">
                  <c:v>15.550392203712029</c:v>
                </c:pt>
                <c:pt idx="123">
                  <c:v>15.680774313994458</c:v>
                </c:pt>
                <c:pt idx="124">
                  <c:v>15.811156424276888</c:v>
                </c:pt>
                <c:pt idx="125">
                  <c:v>15.941538534559317</c:v>
                </c:pt>
                <c:pt idx="126">
                  <c:v>16.071920644841747</c:v>
                </c:pt>
                <c:pt idx="127">
                  <c:v>16.202302755124176</c:v>
                </c:pt>
                <c:pt idx="128">
                  <c:v>16.332684865406605</c:v>
                </c:pt>
                <c:pt idx="129">
                  <c:v>16.463066975689035</c:v>
                </c:pt>
                <c:pt idx="130">
                  <c:v>16.593449085971464</c:v>
                </c:pt>
                <c:pt idx="131">
                  <c:v>16.723831196253894</c:v>
                </c:pt>
                <c:pt idx="132">
                  <c:v>16.854213306536323</c:v>
                </c:pt>
                <c:pt idx="133">
                  <c:v>16.984595416818753</c:v>
                </c:pt>
                <c:pt idx="134">
                  <c:v>17.114977527101182</c:v>
                </c:pt>
                <c:pt idx="135">
                  <c:v>17.24535963738361</c:v>
                </c:pt>
                <c:pt idx="136">
                  <c:v>17.37574174766604</c:v>
                </c:pt>
                <c:pt idx="137">
                  <c:v>17.50612385794847</c:v>
                </c:pt>
                <c:pt idx="138">
                  <c:v>17.6365059682309</c:v>
                </c:pt>
                <c:pt idx="139">
                  <c:v>17.76688807851333</c:v>
                </c:pt>
                <c:pt idx="140">
                  <c:v>17.89727018879576</c:v>
                </c:pt>
                <c:pt idx="141">
                  <c:v>18.027652299078188</c:v>
                </c:pt>
                <c:pt idx="142">
                  <c:v>18.158034409360617</c:v>
                </c:pt>
                <c:pt idx="143">
                  <c:v>18.288416519643047</c:v>
                </c:pt>
                <c:pt idx="144">
                  <c:v>18.418798629925476</c:v>
                </c:pt>
                <c:pt idx="145">
                  <c:v>18.549180740207905</c:v>
                </c:pt>
                <c:pt idx="146">
                  <c:v>18.679562850490335</c:v>
                </c:pt>
                <c:pt idx="147">
                  <c:v>18.809944960772764</c:v>
                </c:pt>
                <c:pt idx="148">
                  <c:v>18.940327071055194</c:v>
                </c:pt>
                <c:pt idx="149">
                  <c:v>19.070709181337623</c:v>
                </c:pt>
                <c:pt idx="150">
                  <c:v>19.201091291620052</c:v>
                </c:pt>
                <c:pt idx="151">
                  <c:v>19.331473401902482</c:v>
                </c:pt>
                <c:pt idx="152">
                  <c:v>19.46185551218491</c:v>
                </c:pt>
                <c:pt idx="153">
                  <c:v>19.59223762246734</c:v>
                </c:pt>
                <c:pt idx="154">
                  <c:v>19.72261973274977</c:v>
                </c:pt>
                <c:pt idx="155">
                  <c:v>19.8530018430322</c:v>
                </c:pt>
                <c:pt idx="156">
                  <c:v>19.98338395331463</c:v>
                </c:pt>
              </c:numCache>
            </c:numRef>
          </c:yVal>
          <c:smooth val="0"/>
        </c:ser>
        <c:axId val="62741527"/>
        <c:axId val="27802832"/>
      </c:scatterChart>
      <c:valAx>
        <c:axId val="6274152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ELAPSED 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02832"/>
        <c:crosses val="autoZero"/>
        <c:crossBetween val="midCat"/>
        <c:dispUnits/>
      </c:valAx>
      <c:valAx>
        <c:axId val="2780283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TRAVELED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741527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51725"/>
        </c:manualLayout>
      </c:layout>
      <c:overlay val="0"/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ROBOT DRIVE SYSTEM SIMULATION
MOTOR CURRENT 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785"/>
          <c:w val="0.878"/>
          <c:h val="0.67525"/>
        </c:manualLayout>
      </c:layout>
      <c:scatterChart>
        <c:scatterStyle val="line"/>
        <c:varyColors val="0"/>
        <c:ser>
          <c:idx val="0"/>
          <c:order val="0"/>
          <c:tx>
            <c:v>motor current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'robot acceleration'!$A$21:$A$177</c:f>
              <c:numCach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xVal>
          <c:yVal>
            <c:numRef>
              <c:f>'robot acceleration'!$I$21:$I$177</c:f>
              <c:numCache>
                <c:ptCount val="157"/>
                <c:pt idx="0">
                  <c:v>561.5861731027419</c:v>
                </c:pt>
                <c:pt idx="1">
                  <c:v>419.8758306932181</c:v>
                </c:pt>
                <c:pt idx="2">
                  <c:v>314.2783539803259</c:v>
                </c:pt>
                <c:pt idx="3">
                  <c:v>235.5908926523065</c:v>
                </c:pt>
                <c:pt idx="4">
                  <c:v>176.95581193836907</c:v>
                </c:pt>
                <c:pt idx="5">
                  <c:v>133.26304777613635</c:v>
                </c:pt>
                <c:pt idx="6">
                  <c:v>100.7047632663872</c:v>
                </c:pt>
                <c:pt idx="7">
                  <c:v>76.44349459769394</c:v>
                </c:pt>
                <c:pt idx="8">
                  <c:v>58.364865263330216</c:v>
                </c:pt>
                <c:pt idx="9">
                  <c:v>44.89331754368968</c:v>
                </c:pt>
                <c:pt idx="10">
                  <c:v>34.854802200184835</c:v>
                </c:pt>
                <c:pt idx="11">
                  <c:v>27.374459748154038</c:v>
                </c:pt>
                <c:pt idx="12">
                  <c:v>21.800376202437587</c:v>
                </c:pt>
                <c:pt idx="13">
                  <c:v>17.646768587027818</c:v>
                </c:pt>
                <c:pt idx="14">
                  <c:v>14.551648809706375</c:v>
                </c:pt>
                <c:pt idx="15">
                  <c:v>12.245276296225384</c:v>
                </c:pt>
                <c:pt idx="16">
                  <c:v>10.526650022076934</c:v>
                </c:pt>
                <c:pt idx="17">
                  <c:v>9.245991215692321</c:v>
                </c:pt>
                <c:pt idx="18">
                  <c:v>8.291690095640167</c:v>
                </c:pt>
                <c:pt idx="19">
                  <c:v>7.580579046239398</c:v>
                </c:pt>
                <c:pt idx="20">
                  <c:v>7.050684536053364</c:v>
                </c:pt>
                <c:pt idx="21">
                  <c:v>6.655826106892685</c:v>
                </c:pt>
                <c:pt idx="22">
                  <c:v>6.36159173366886</c:v>
                </c:pt>
                <c:pt idx="23">
                  <c:v>6.142338806561895</c:v>
                </c:pt>
                <c:pt idx="24">
                  <c:v>5.97895937023595</c:v>
                </c:pt>
                <c:pt idx="25">
                  <c:v>5.8572148600651435</c:v>
                </c:pt>
                <c:pt idx="26">
                  <c:v>5.766495207151078</c:v>
                </c:pt>
                <c:pt idx="27">
                  <c:v>5.698894167784028</c:v>
                </c:pt>
                <c:pt idx="28">
                  <c:v>5.648520292038861</c:v>
                </c:pt>
                <c:pt idx="29">
                  <c:v>5.610983482230269</c:v>
                </c:pt>
                <c:pt idx="30">
                  <c:v>5.583012394642374</c:v>
                </c:pt>
                <c:pt idx="31">
                  <c:v>5.562169340988087</c:v>
                </c:pt>
                <c:pt idx="32">
                  <c:v>5.546637843177748</c:v>
                </c:pt>
                <c:pt idx="33">
                  <c:v>5.535064326732139</c:v>
                </c:pt>
                <c:pt idx="34">
                  <c:v>5.526440156381851</c:v>
                </c:pt>
                <c:pt idx="35">
                  <c:v>5.520013733213099</c:v>
                </c:pt>
                <c:pt idx="36">
                  <c:v>5.515224992607404</c:v>
                </c:pt>
                <c:pt idx="37">
                  <c:v>5.511656594451204</c:v>
                </c:pt>
                <c:pt idx="38">
                  <c:v>5.508997551823767</c:v>
                </c:pt>
                <c:pt idx="39">
                  <c:v>5.507016128399378</c:v>
                </c:pt>
                <c:pt idx="40">
                  <c:v>5.505539642559577</c:v>
                </c:pt>
                <c:pt idx="41">
                  <c:v>5.50443941814107</c:v>
                </c:pt>
                <c:pt idx="42">
                  <c:v>5.503619570270921</c:v>
                </c:pt>
                <c:pt idx="43">
                  <c:v>5.503008648972363</c:v>
                </c:pt>
                <c:pt idx="44">
                  <c:v>5.502553412280042</c:v>
                </c:pt>
                <c:pt idx="45">
                  <c:v>5.502214186185086</c:v>
                </c:pt>
                <c:pt idx="46">
                  <c:v>5.50196140703692</c:v>
                </c:pt>
                <c:pt idx="47">
                  <c:v>5.5017730450601405</c:v>
                </c:pt>
                <c:pt idx="48">
                  <c:v>5.5016326844548145</c:v>
                </c:pt>
                <c:pt idx="49">
                  <c:v>5.501528092753936</c:v>
                </c:pt>
                <c:pt idx="50">
                  <c:v>5.501450154760665</c:v>
                </c:pt>
                <c:pt idx="51">
                  <c:v>5.5013920781566785</c:v>
                </c:pt>
                <c:pt idx="52">
                  <c:v>5.501348801549497</c:v>
                </c:pt>
                <c:pt idx="53">
                  <c:v>5.501316553370237</c:v>
                </c:pt>
                <c:pt idx="54">
                  <c:v>5.501292523180845</c:v>
                </c:pt>
                <c:pt idx="55">
                  <c:v>5.501274616743667</c:v>
                </c:pt>
                <c:pt idx="56">
                  <c:v>5.501261273507223</c:v>
                </c:pt>
                <c:pt idx="57">
                  <c:v>5.501251330605055</c:v>
                </c:pt>
                <c:pt idx="58">
                  <c:v>5.5012439215100075</c:v>
                </c:pt>
                <c:pt idx="59">
                  <c:v>5.501238400517471</c:v>
                </c:pt>
                <c:pt idx="60">
                  <c:v>5.50123428647142</c:v>
                </c:pt>
                <c:pt idx="61">
                  <c:v>5.501231220831275</c:v>
                </c:pt>
                <c:pt idx="62">
                  <c:v>5.50122893642622</c:v>
                </c:pt>
                <c:pt idx="63">
                  <c:v>5.501227234169086</c:v>
                </c:pt>
                <c:pt idx="64">
                  <c:v>5.501225965708154</c:v>
                </c:pt>
                <c:pt idx="65">
                  <c:v>5.501225020496363</c:v>
                </c:pt>
                <c:pt idx="66">
                  <c:v>5.501224316158315</c:v>
                </c:pt>
                <c:pt idx="67">
                  <c:v>5.501223791310907</c:v>
                </c:pt>
                <c:pt idx="68">
                  <c:v>5.501223400213414</c:v>
                </c:pt>
                <c:pt idx="69">
                  <c:v>5.501223108781445</c:v>
                </c:pt>
                <c:pt idx="70">
                  <c:v>5.501222891616874</c:v>
                </c:pt>
                <c:pt idx="71">
                  <c:v>5.501222729793614</c:v>
                </c:pt>
                <c:pt idx="72">
                  <c:v>5.501222609208543</c:v>
                </c:pt>
                <c:pt idx="73">
                  <c:v>5.501222519352993</c:v>
                </c:pt>
                <c:pt idx="74">
                  <c:v>5.501222452395857</c:v>
                </c:pt>
                <c:pt idx="75">
                  <c:v>5.501222402501757</c:v>
                </c:pt>
                <c:pt idx="76">
                  <c:v>5.50122236532252</c:v>
                </c:pt>
                <c:pt idx="77">
                  <c:v>5.501222337617918</c:v>
                </c:pt>
                <c:pt idx="78">
                  <c:v>5.501222316973304</c:v>
                </c:pt>
                <c:pt idx="79">
                  <c:v>5.501222301589776</c:v>
                </c:pt>
                <c:pt idx="80">
                  <c:v>5.5012222901265195</c:v>
                </c:pt>
                <c:pt idx="81">
                  <c:v>5.50122228158439</c:v>
                </c:pt>
                <c:pt idx="82">
                  <c:v>5.501222275219114</c:v>
                </c:pt>
                <c:pt idx="83">
                  <c:v>5.501222270476062</c:v>
                </c:pt>
                <c:pt idx="84">
                  <c:v>5.501222266941696</c:v>
                </c:pt>
                <c:pt idx="85">
                  <c:v>5.5012222643079935</c:v>
                </c:pt>
                <c:pt idx="86">
                  <c:v>5.501222262345359</c:v>
                </c:pt>
                <c:pt idx="87">
                  <c:v>5.5012222608828845</c:v>
                </c:pt>
                <c:pt idx="88">
                  <c:v>5.501222259793209</c:v>
                </c:pt>
                <c:pt idx="89">
                  <c:v>5.501222258981122</c:v>
                </c:pt>
                <c:pt idx="90">
                  <c:v>5.501222258376076</c:v>
                </c:pt>
                <c:pt idx="91">
                  <c:v>5.501222257925159</c:v>
                </c:pt>
                <c:pt idx="92">
                  <c:v>5.501222257589039</c:v>
                </c:pt>
                <c:pt idx="93">
                  <c:v>5.501222257338765</c:v>
                </c:pt>
                <c:pt idx="94">
                  <c:v>5.501222257152171</c:v>
                </c:pt>
                <c:pt idx="95">
                  <c:v>5.501222257013259</c:v>
                </c:pt>
                <c:pt idx="96">
                  <c:v>5.501222256909544</c:v>
                </c:pt>
                <c:pt idx="97">
                  <c:v>5.50122225683244</c:v>
                </c:pt>
                <c:pt idx="98">
                  <c:v>5.501222256774846</c:v>
                </c:pt>
                <c:pt idx="99">
                  <c:v>5.501222256731924</c:v>
                </c:pt>
                <c:pt idx="100">
                  <c:v>5.501222256700005</c:v>
                </c:pt>
                <c:pt idx="101">
                  <c:v>5.501222256676203</c:v>
                </c:pt>
                <c:pt idx="102">
                  <c:v>5.501222256658644</c:v>
                </c:pt>
                <c:pt idx="103">
                  <c:v>5.501222256645376</c:v>
                </c:pt>
                <c:pt idx="104">
                  <c:v>5.501222256635622</c:v>
                </c:pt>
                <c:pt idx="105">
                  <c:v>5.501222256628287</c:v>
                </c:pt>
                <c:pt idx="106">
                  <c:v>5.501222256622824</c:v>
                </c:pt>
                <c:pt idx="107">
                  <c:v>5.5012222566186875</c:v>
                </c:pt>
                <c:pt idx="108">
                  <c:v>5.501222256615644</c:v>
                </c:pt>
                <c:pt idx="109">
                  <c:v>5.501222256613459</c:v>
                </c:pt>
                <c:pt idx="110">
                  <c:v>5.501222256611742</c:v>
                </c:pt>
                <c:pt idx="111">
                  <c:v>5.501222256610415</c:v>
                </c:pt>
                <c:pt idx="112">
                  <c:v>5.501222256609401</c:v>
                </c:pt>
                <c:pt idx="113">
                  <c:v>5.501222256608698</c:v>
                </c:pt>
                <c:pt idx="114">
                  <c:v>5.501222256608229</c:v>
                </c:pt>
                <c:pt idx="115">
                  <c:v>5.501222256607839</c:v>
                </c:pt>
                <c:pt idx="116">
                  <c:v>5.501222256607606</c:v>
                </c:pt>
                <c:pt idx="117">
                  <c:v>5.501222256607372</c:v>
                </c:pt>
                <c:pt idx="118">
                  <c:v>5.501222256607216</c:v>
                </c:pt>
                <c:pt idx="119">
                  <c:v>5.501222256607059</c:v>
                </c:pt>
                <c:pt idx="120">
                  <c:v>5.501222256606981</c:v>
                </c:pt>
                <c:pt idx="121">
                  <c:v>5.501222256606826</c:v>
                </c:pt>
                <c:pt idx="122">
                  <c:v>5.501222256606826</c:v>
                </c:pt>
                <c:pt idx="123">
                  <c:v>5.501222256606826</c:v>
                </c:pt>
                <c:pt idx="124">
                  <c:v>5.501222256606826</c:v>
                </c:pt>
                <c:pt idx="125">
                  <c:v>5.501222256606826</c:v>
                </c:pt>
                <c:pt idx="126">
                  <c:v>5.501222256606826</c:v>
                </c:pt>
                <c:pt idx="127">
                  <c:v>5.501222256606826</c:v>
                </c:pt>
                <c:pt idx="128">
                  <c:v>5.501222256606826</c:v>
                </c:pt>
                <c:pt idx="129">
                  <c:v>5.501222256606826</c:v>
                </c:pt>
                <c:pt idx="130">
                  <c:v>5.501222256606826</c:v>
                </c:pt>
                <c:pt idx="131">
                  <c:v>5.501222256606826</c:v>
                </c:pt>
                <c:pt idx="132">
                  <c:v>5.501222256606826</c:v>
                </c:pt>
                <c:pt idx="133">
                  <c:v>5.501222256606826</c:v>
                </c:pt>
                <c:pt idx="134">
                  <c:v>5.501222256606826</c:v>
                </c:pt>
                <c:pt idx="135">
                  <c:v>5.501222256606826</c:v>
                </c:pt>
                <c:pt idx="136">
                  <c:v>5.501222256606826</c:v>
                </c:pt>
                <c:pt idx="137">
                  <c:v>5.501222256606826</c:v>
                </c:pt>
                <c:pt idx="138">
                  <c:v>5.501222256606826</c:v>
                </c:pt>
                <c:pt idx="139">
                  <c:v>5.501222256606826</c:v>
                </c:pt>
                <c:pt idx="140">
                  <c:v>5.501222256606826</c:v>
                </c:pt>
                <c:pt idx="141">
                  <c:v>5.501222256606826</c:v>
                </c:pt>
                <c:pt idx="142">
                  <c:v>5.501222256606826</c:v>
                </c:pt>
                <c:pt idx="143">
                  <c:v>5.501222256606826</c:v>
                </c:pt>
                <c:pt idx="144">
                  <c:v>5.501222256606826</c:v>
                </c:pt>
                <c:pt idx="145">
                  <c:v>5.501222256606826</c:v>
                </c:pt>
                <c:pt idx="146">
                  <c:v>5.501222256606826</c:v>
                </c:pt>
                <c:pt idx="147">
                  <c:v>5.501222256606826</c:v>
                </c:pt>
                <c:pt idx="148">
                  <c:v>5.501222256606826</c:v>
                </c:pt>
                <c:pt idx="149">
                  <c:v>5.501222256606826</c:v>
                </c:pt>
                <c:pt idx="150">
                  <c:v>5.501222256606826</c:v>
                </c:pt>
                <c:pt idx="151">
                  <c:v>5.501222256606826</c:v>
                </c:pt>
                <c:pt idx="152">
                  <c:v>5.501222256606826</c:v>
                </c:pt>
                <c:pt idx="153">
                  <c:v>5.501222256606826</c:v>
                </c:pt>
                <c:pt idx="154">
                  <c:v>5.501222256606826</c:v>
                </c:pt>
                <c:pt idx="155">
                  <c:v>5.501222256606826</c:v>
                </c:pt>
                <c:pt idx="156">
                  <c:v>5.501222256606826</c:v>
                </c:pt>
              </c:numCache>
            </c:numRef>
          </c:yVal>
          <c:smooth val="0"/>
        </c:ser>
        <c:axId val="48898897"/>
        <c:axId val="37436890"/>
      </c:scatterChart>
      <c:valAx>
        <c:axId val="4889889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ELAPSED 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436890"/>
        <c:crosses val="autoZero"/>
        <c:crossBetween val="midCat"/>
        <c:dispUnits/>
      </c:valAx>
      <c:valAx>
        <c:axId val="3743689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MOTOR 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898897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51"/>
        </c:manualLayout>
      </c:layout>
      <c:overlay val="0"/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"/>
          <c:w val="0.94475"/>
          <c:h val="0.9"/>
        </c:manualLayout>
      </c:layout>
      <c:scatterChart>
        <c:scatterStyle val="smoothMarker"/>
        <c:varyColors val="0"/>
        <c:ser>
          <c:idx val="1"/>
          <c:order val="0"/>
          <c:tx>
            <c:v>torque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'robot acceleration'!$L$6:$L$11</c:f>
              <c:numCache>
                <c:ptCount val="6"/>
                <c:pt idx="0">
                  <c:v>0</c:v>
                </c:pt>
                <c:pt idx="1">
                  <c:v>3934</c:v>
                </c:pt>
                <c:pt idx="2">
                  <c:v>7868</c:v>
                </c:pt>
                <c:pt idx="3">
                  <c:v>11802</c:v>
                </c:pt>
                <c:pt idx="4">
                  <c:v>15736</c:v>
                </c:pt>
                <c:pt idx="5">
                  <c:v>19670</c:v>
                </c:pt>
              </c:numCache>
            </c:numRef>
          </c:xVal>
          <c:yVal>
            <c:numRef>
              <c:f>'robot acceleration'!$N$6:$N$11</c:f>
              <c:numCache>
                <c:ptCount val="6"/>
                <c:pt idx="0">
                  <c:v>1.74</c:v>
                </c:pt>
                <c:pt idx="1">
                  <c:v>1.392</c:v>
                </c:pt>
                <c:pt idx="2">
                  <c:v>1.044</c:v>
                </c:pt>
                <c:pt idx="3">
                  <c:v>0.696</c:v>
                </c:pt>
                <c:pt idx="4">
                  <c:v>0.34799999999999986</c:v>
                </c:pt>
                <c:pt idx="5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power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'robot acceleration'!$L$6:$L$11</c:f>
              <c:numCache>
                <c:ptCount val="6"/>
                <c:pt idx="0">
                  <c:v>0</c:v>
                </c:pt>
                <c:pt idx="1">
                  <c:v>3934</c:v>
                </c:pt>
                <c:pt idx="2">
                  <c:v>7868</c:v>
                </c:pt>
                <c:pt idx="3">
                  <c:v>11802</c:v>
                </c:pt>
                <c:pt idx="4">
                  <c:v>15736</c:v>
                </c:pt>
                <c:pt idx="5">
                  <c:v>19670</c:v>
                </c:pt>
              </c:numCache>
            </c:numRef>
          </c:xVal>
          <c:yVal>
            <c:numRef>
              <c:f>'robot acceleration'!$O$6:$O$11</c:f>
              <c:numCache>
                <c:ptCount val="6"/>
                <c:pt idx="0">
                  <c:v>0</c:v>
                </c:pt>
                <c:pt idx="1">
                  <c:v>0.5734765944077913</c:v>
                </c:pt>
                <c:pt idx="2">
                  <c:v>0.8602148916116872</c:v>
                </c:pt>
                <c:pt idx="3">
                  <c:v>0.860214891611687</c:v>
                </c:pt>
                <c:pt idx="4">
                  <c:v>0.5734765944077912</c:v>
                </c:pt>
                <c:pt idx="5">
                  <c:v>0</c:v>
                </c:pt>
              </c:numCache>
            </c:numRef>
          </c:yVal>
          <c:smooth val="1"/>
        </c:ser>
        <c:axId val="1387691"/>
        <c:axId val="12489220"/>
      </c:scatterChart>
      <c:val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89220"/>
        <c:crosses val="autoZero"/>
        <c:crossBetween val="midCat"/>
        <c:dispUnits/>
      </c:valAx>
      <c:valAx>
        <c:axId val="12489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7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25"/>
          <c:y val="0.19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  <a:ln w="3175">
      <a:solidFill>
        <a:srgbClr val="008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575"/>
          <c:w val="0.9295"/>
          <c:h val="0.8425"/>
        </c:manualLayout>
      </c:layout>
      <c:scatterChart>
        <c:scatterStyle val="line"/>
        <c:varyColors val="0"/>
        <c:ser>
          <c:idx val="0"/>
          <c:order val="0"/>
          <c:tx>
            <c:v>drills 80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results'!$H$8:$H$68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'example results'!$I$8:$I$68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drills 60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results'!$H$8:$H$68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'example results'!$J$8:$J$68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drills+CIMs 60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results'!$H$8:$H$68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'example results'!$K$8:$K$68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drills+CIMs+FPs 50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results'!$H$8:$H$68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'example results'!$L$8:$L$68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45294117"/>
        <c:axId val="4993870"/>
      </c:scatterChart>
      <c:valAx>
        <c:axId val="45294117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Elapsed 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3870"/>
        <c:crosses val="autoZero"/>
        <c:crossBetween val="midCat"/>
        <c:dispUnits/>
      </c:valAx>
      <c:valAx>
        <c:axId val="499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Robot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2941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5"/>
          <c:y val="0.48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29</xdr:row>
      <xdr:rowOff>104775</xdr:rowOff>
    </xdr:from>
    <xdr:to>
      <xdr:col>11</xdr:col>
      <xdr:colOff>371475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1800225" y="5124450"/>
        <a:ext cx="44481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44</xdr:row>
      <xdr:rowOff>104775</xdr:rowOff>
    </xdr:from>
    <xdr:to>
      <xdr:col>13</xdr:col>
      <xdr:colOff>142875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3390900" y="7877175"/>
        <a:ext cx="38481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11</xdr:row>
      <xdr:rowOff>38100</xdr:rowOff>
    </xdr:from>
    <xdr:to>
      <xdr:col>17</xdr:col>
      <xdr:colOff>247650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6772275" y="1857375"/>
        <a:ext cx="38671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27</xdr:row>
      <xdr:rowOff>28575</xdr:rowOff>
    </xdr:from>
    <xdr:to>
      <xdr:col>17</xdr:col>
      <xdr:colOff>238125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6772275" y="4457700"/>
        <a:ext cx="38576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43</xdr:row>
      <xdr:rowOff>28575</xdr:rowOff>
    </xdr:from>
    <xdr:to>
      <xdr:col>17</xdr:col>
      <xdr:colOff>247650</xdr:colOff>
      <xdr:row>58</xdr:row>
      <xdr:rowOff>95250</xdr:rowOff>
    </xdr:to>
    <xdr:graphicFrame>
      <xdr:nvGraphicFramePr>
        <xdr:cNvPr id="3" name="Chart 4"/>
        <xdr:cNvGraphicFramePr/>
      </xdr:nvGraphicFramePr>
      <xdr:xfrm>
        <a:off x="6781800" y="7048500"/>
        <a:ext cx="38576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104775</xdr:colOff>
      <xdr:row>0</xdr:row>
      <xdr:rowOff>57150</xdr:rowOff>
    </xdr:from>
    <xdr:to>
      <xdr:col>10</xdr:col>
      <xdr:colOff>476250</xdr:colOff>
      <xdr:row>12</xdr:row>
      <xdr:rowOff>66675</xdr:rowOff>
    </xdr:to>
    <xdr:graphicFrame>
      <xdr:nvGraphicFramePr>
        <xdr:cNvPr id="4" name="Chart 6"/>
        <xdr:cNvGraphicFramePr/>
      </xdr:nvGraphicFramePr>
      <xdr:xfrm>
        <a:off x="3762375" y="57150"/>
        <a:ext cx="283845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152400</xdr:rowOff>
    </xdr:from>
    <xdr:to>
      <xdr:col>6</xdr:col>
      <xdr:colOff>514350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76200" y="16097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20" sqref="A20"/>
    </sheetView>
  </sheetViews>
  <sheetFormatPr defaultColWidth="9.140625" defaultRowHeight="12.75"/>
  <cols>
    <col min="1" max="1" width="10.421875" style="0" customWidth="1"/>
    <col min="6" max="6" width="2.421875" style="0" customWidth="1"/>
    <col min="11" max="11" width="2.140625" style="0" customWidth="1"/>
  </cols>
  <sheetData>
    <row r="1" ht="12.75">
      <c r="A1" t="s">
        <v>42</v>
      </c>
    </row>
    <row r="2" ht="12.75">
      <c r="A2" t="s">
        <v>67</v>
      </c>
    </row>
    <row r="5" spans="1:15" ht="12.75">
      <c r="A5" s="29"/>
      <c r="B5" s="71" t="s">
        <v>46</v>
      </c>
      <c r="C5" s="72"/>
      <c r="D5" s="72"/>
      <c r="E5" s="73"/>
      <c r="F5" s="30"/>
      <c r="G5" s="71" t="s">
        <v>47</v>
      </c>
      <c r="H5" s="72"/>
      <c r="I5" s="72"/>
      <c r="J5" s="73"/>
      <c r="K5" s="30"/>
      <c r="L5" s="71" t="s">
        <v>48</v>
      </c>
      <c r="M5" s="72"/>
      <c r="N5" s="72"/>
      <c r="O5" s="73"/>
    </row>
    <row r="6" spans="1:15" ht="12.75">
      <c r="A6" s="29"/>
      <c r="B6" s="71" t="s">
        <v>53</v>
      </c>
      <c r="C6" s="72"/>
      <c r="D6" s="72"/>
      <c r="E6" s="73"/>
      <c r="F6" s="30"/>
      <c r="G6" s="71" t="s">
        <v>53</v>
      </c>
      <c r="H6" s="72"/>
      <c r="I6" s="72"/>
      <c r="J6" s="73"/>
      <c r="K6" s="30"/>
      <c r="L6" s="71" t="s">
        <v>53</v>
      </c>
      <c r="M6" s="72"/>
      <c r="N6" s="72"/>
      <c r="O6" s="73"/>
    </row>
    <row r="7" spans="1:15" ht="38.25">
      <c r="A7" s="29"/>
      <c r="B7" s="31" t="s">
        <v>43</v>
      </c>
      <c r="C7" s="31" t="s">
        <v>44</v>
      </c>
      <c r="D7" s="31" t="s">
        <v>45</v>
      </c>
      <c r="E7" s="31" t="s">
        <v>52</v>
      </c>
      <c r="F7" s="30"/>
      <c r="G7" s="31" t="s">
        <v>43</v>
      </c>
      <c r="H7" s="31" t="s">
        <v>44</v>
      </c>
      <c r="I7" s="31" t="s">
        <v>45</v>
      </c>
      <c r="J7" s="31" t="s">
        <v>52</v>
      </c>
      <c r="K7" s="30"/>
      <c r="L7" s="31" t="s">
        <v>43</v>
      </c>
      <c r="M7" s="31" t="s">
        <v>44</v>
      </c>
      <c r="N7" s="31" t="s">
        <v>45</v>
      </c>
      <c r="O7" s="31" t="s">
        <v>52</v>
      </c>
    </row>
    <row r="8" spans="1:15" ht="12.75">
      <c r="A8" s="32" t="s">
        <v>49</v>
      </c>
      <c r="B8" s="33">
        <v>0</v>
      </c>
      <c r="C8" s="27">
        <v>0.87</v>
      </c>
      <c r="D8" s="34">
        <f>B8*C8/9549</f>
        <v>0</v>
      </c>
      <c r="E8" s="26">
        <v>127</v>
      </c>
      <c r="F8" s="30"/>
      <c r="G8" s="35">
        <v>0</v>
      </c>
      <c r="H8" s="26">
        <v>2.22</v>
      </c>
      <c r="I8" s="34">
        <f aca="true" t="shared" si="0" ref="I8:I18">G8*H8/9549</f>
        <v>0</v>
      </c>
      <c r="J8" s="26">
        <v>107</v>
      </c>
      <c r="K8" s="30"/>
      <c r="L8" s="35">
        <v>0</v>
      </c>
      <c r="M8" s="26">
        <v>0.382</v>
      </c>
      <c r="N8" s="34">
        <f aca="true" t="shared" si="1" ref="N8:N18">L8*M8/9549</f>
        <v>0</v>
      </c>
      <c r="O8" s="26">
        <v>57</v>
      </c>
    </row>
    <row r="9" spans="1:15" ht="12.75">
      <c r="A9" s="29"/>
      <c r="B9" s="33">
        <f>B$18*0.1</f>
        <v>1967</v>
      </c>
      <c r="C9" s="34">
        <f>C$8-(B9-B$8)/(B$18-B$8)*C$8</f>
        <v>0.783</v>
      </c>
      <c r="D9" s="34">
        <f aca="true" t="shared" si="2" ref="D9:D18">B9*C9/9549</f>
        <v>0.16129029217719135</v>
      </c>
      <c r="E9" s="33">
        <f>E$8-(B9-B$8)/(B$18-B$8)*(E$8-E$18)</f>
        <v>114.56</v>
      </c>
      <c r="F9" s="30"/>
      <c r="G9" s="33">
        <f>G$18*0.1</f>
        <v>550</v>
      </c>
      <c r="H9" s="34">
        <f>H$8-(G9-G$8)/(G$18-G$8)*H$8</f>
        <v>1.9980000000000002</v>
      </c>
      <c r="I9" s="34">
        <f t="shared" si="0"/>
        <v>0.11508011310084827</v>
      </c>
      <c r="J9" s="33">
        <f>J$8-(G9-G$8)/(G$18-G$8)*(J$8-J$18)</f>
        <v>96.53</v>
      </c>
      <c r="K9" s="30"/>
      <c r="L9" s="33">
        <f>L$18*0.1</f>
        <v>1500</v>
      </c>
      <c r="M9" s="34">
        <f>M$8-(L9-L$8)/(L$18-L$8)*M$8</f>
        <v>0.3438</v>
      </c>
      <c r="N9" s="34">
        <f t="shared" si="1"/>
        <v>0.05400565504241282</v>
      </c>
      <c r="O9" s="33">
        <f>O$8-(L9-L$8)/(L$18-L$8)*(O$8-O$18)</f>
        <v>51.41</v>
      </c>
    </row>
    <row r="10" spans="1:15" ht="12.75">
      <c r="A10" s="29"/>
      <c r="B10" s="33">
        <f>B$18*0.2</f>
        <v>3934</v>
      </c>
      <c r="C10" s="34">
        <f aca="true" t="shared" si="3" ref="C10:C17">C$8-(B10-B$8)/(B$18-B$8)*C$8</f>
        <v>0.696</v>
      </c>
      <c r="D10" s="34">
        <f t="shared" si="2"/>
        <v>0.28673829720389565</v>
      </c>
      <c r="E10" s="33">
        <f aca="true" t="shared" si="4" ref="E10:E17">E$8-(B10-B$8)/(B$18-B$8)*(E$8-E$18)</f>
        <v>102.12</v>
      </c>
      <c r="F10" s="30"/>
      <c r="G10" s="33">
        <f>G$18*0.2</f>
        <v>1100</v>
      </c>
      <c r="H10" s="34">
        <f aca="true" t="shared" si="5" ref="H10:H18">H$8-(G10-G$8)/(G$18-G$8)*H$8</f>
        <v>1.7760000000000002</v>
      </c>
      <c r="I10" s="34">
        <f t="shared" si="0"/>
        <v>0.2045868677348414</v>
      </c>
      <c r="J10" s="33">
        <f aca="true" t="shared" si="6" ref="J10:J17">J$8-(G10-G$8)/(G$18-G$8)*(J$8-J$18)</f>
        <v>86.06</v>
      </c>
      <c r="K10" s="30"/>
      <c r="L10" s="33">
        <f>L$18*0.2</f>
        <v>3000</v>
      </c>
      <c r="M10" s="34">
        <f aca="true" t="shared" si="7" ref="M10:M18">M$8-(L10-L$8)/(L$18-L$8)*M$8</f>
        <v>0.3056</v>
      </c>
      <c r="N10" s="34">
        <f t="shared" si="1"/>
        <v>0.09601005340873389</v>
      </c>
      <c r="O10" s="33">
        <f aca="true" t="shared" si="8" ref="O10:O17">O$8-(L10-L$8)/(L$18-L$8)*(O$8-O$18)</f>
        <v>45.82</v>
      </c>
    </row>
    <row r="11" spans="1:15" ht="12.75">
      <c r="A11" s="29"/>
      <c r="B11" s="33">
        <f>B$18*0.3</f>
        <v>5901</v>
      </c>
      <c r="C11" s="34">
        <f t="shared" si="3"/>
        <v>0.609</v>
      </c>
      <c r="D11" s="34">
        <f t="shared" si="2"/>
        <v>0.37634401508011306</v>
      </c>
      <c r="E11" s="33">
        <f t="shared" si="4"/>
        <v>89.68</v>
      </c>
      <c r="F11" s="30"/>
      <c r="G11" s="33">
        <f>G$18*0.3</f>
        <v>1650</v>
      </c>
      <c r="H11" s="34">
        <f t="shared" si="5"/>
        <v>1.5540000000000003</v>
      </c>
      <c r="I11" s="34">
        <f t="shared" si="0"/>
        <v>0.2685202639019793</v>
      </c>
      <c r="J11" s="33">
        <f t="shared" si="6"/>
        <v>75.59</v>
      </c>
      <c r="K11" s="30"/>
      <c r="L11" s="33">
        <f>L$18*0.3</f>
        <v>4500</v>
      </c>
      <c r="M11" s="34">
        <f t="shared" si="7"/>
        <v>0.2674</v>
      </c>
      <c r="N11" s="34">
        <f t="shared" si="1"/>
        <v>0.12601319509896325</v>
      </c>
      <c r="O11" s="33">
        <f t="shared" si="8"/>
        <v>40.230000000000004</v>
      </c>
    </row>
    <row r="12" spans="1:15" ht="12.75">
      <c r="A12" s="29"/>
      <c r="B12" s="33">
        <f>B$18*0.4</f>
        <v>7868</v>
      </c>
      <c r="C12" s="34">
        <f t="shared" si="3"/>
        <v>0.522</v>
      </c>
      <c r="D12" s="34">
        <f t="shared" si="2"/>
        <v>0.4301074458058436</v>
      </c>
      <c r="E12" s="33">
        <f t="shared" si="4"/>
        <v>77.24</v>
      </c>
      <c r="F12" s="30"/>
      <c r="G12" s="33">
        <f>G$18*0.4</f>
        <v>2200</v>
      </c>
      <c r="H12" s="34">
        <f t="shared" si="5"/>
        <v>1.332</v>
      </c>
      <c r="I12" s="34">
        <f t="shared" si="0"/>
        <v>0.30688030160226204</v>
      </c>
      <c r="J12" s="33">
        <f t="shared" si="6"/>
        <v>65.12</v>
      </c>
      <c r="K12" s="30"/>
      <c r="L12" s="33">
        <f>L$18*0.4</f>
        <v>6000</v>
      </c>
      <c r="M12" s="34">
        <f t="shared" si="7"/>
        <v>0.2292</v>
      </c>
      <c r="N12" s="34">
        <f t="shared" si="1"/>
        <v>0.14401508011310082</v>
      </c>
      <c r="O12" s="33">
        <f t="shared" si="8"/>
        <v>34.64</v>
      </c>
    </row>
    <row r="13" spans="1:15" ht="12.75">
      <c r="A13" s="32" t="s">
        <v>50</v>
      </c>
      <c r="B13" s="33">
        <f>B$18*0.5</f>
        <v>9835</v>
      </c>
      <c r="C13" s="34">
        <f t="shared" si="3"/>
        <v>0.435</v>
      </c>
      <c r="D13" s="34">
        <f t="shared" si="2"/>
        <v>0.4480285893810871</v>
      </c>
      <c r="E13" s="33">
        <f t="shared" si="4"/>
        <v>64.8</v>
      </c>
      <c r="F13" s="30"/>
      <c r="G13" s="33">
        <f>G$18*0.5</f>
        <v>2750</v>
      </c>
      <c r="H13" s="34">
        <f t="shared" si="5"/>
        <v>1.11</v>
      </c>
      <c r="I13" s="34">
        <f t="shared" si="0"/>
        <v>0.3196669808356897</v>
      </c>
      <c r="J13" s="33">
        <f t="shared" si="6"/>
        <v>54.65</v>
      </c>
      <c r="K13" s="30"/>
      <c r="L13" s="33">
        <f>L$18*0.5</f>
        <v>7500</v>
      </c>
      <c r="M13" s="34">
        <f t="shared" si="7"/>
        <v>0.191</v>
      </c>
      <c r="N13" s="34">
        <f t="shared" si="1"/>
        <v>0.15001570845114673</v>
      </c>
      <c r="O13" s="33">
        <f t="shared" si="8"/>
        <v>29.05</v>
      </c>
    </row>
    <row r="14" spans="1:15" ht="12.75">
      <c r="A14" s="29"/>
      <c r="B14" s="33">
        <f>B$18*0.6</f>
        <v>11802</v>
      </c>
      <c r="C14" s="34">
        <f t="shared" si="3"/>
        <v>0.348</v>
      </c>
      <c r="D14" s="34">
        <f t="shared" si="2"/>
        <v>0.4301074458058435</v>
      </c>
      <c r="E14" s="33">
        <f t="shared" si="4"/>
        <v>52.36</v>
      </c>
      <c r="F14" s="30"/>
      <c r="G14" s="33">
        <f>G$18*0.6</f>
        <v>3300</v>
      </c>
      <c r="H14" s="34">
        <f t="shared" si="5"/>
        <v>0.8880000000000001</v>
      </c>
      <c r="I14" s="34">
        <f t="shared" si="0"/>
        <v>0.3068803016022621</v>
      </c>
      <c r="J14" s="33">
        <f t="shared" si="6"/>
        <v>44.18</v>
      </c>
      <c r="K14" s="30"/>
      <c r="L14" s="33">
        <f>L$18*0.6</f>
        <v>9000</v>
      </c>
      <c r="M14" s="34">
        <f t="shared" si="7"/>
        <v>0.15280000000000002</v>
      </c>
      <c r="N14" s="34">
        <f t="shared" si="1"/>
        <v>0.14401508011310088</v>
      </c>
      <c r="O14" s="33">
        <f t="shared" si="8"/>
        <v>23.46</v>
      </c>
    </row>
    <row r="15" spans="1:15" ht="12.75">
      <c r="A15" s="29"/>
      <c r="B15" s="33">
        <f>B$18*0.7</f>
        <v>13769</v>
      </c>
      <c r="C15" s="34">
        <f t="shared" si="3"/>
        <v>0.261</v>
      </c>
      <c r="D15" s="34">
        <f t="shared" si="2"/>
        <v>0.3763440150801131</v>
      </c>
      <c r="E15" s="33">
        <f t="shared" si="4"/>
        <v>39.92</v>
      </c>
      <c r="F15" s="30"/>
      <c r="G15" s="33">
        <f>G$18*0.7</f>
        <v>3849.9999999999995</v>
      </c>
      <c r="H15" s="34">
        <f t="shared" si="5"/>
        <v>0.6660000000000001</v>
      </c>
      <c r="I15" s="34">
        <f t="shared" si="0"/>
        <v>0.2685202639019793</v>
      </c>
      <c r="J15" s="33">
        <f t="shared" si="6"/>
        <v>33.71000000000001</v>
      </c>
      <c r="K15" s="30"/>
      <c r="L15" s="33">
        <f>L$18*0.7</f>
        <v>10500</v>
      </c>
      <c r="M15" s="34">
        <f t="shared" si="7"/>
        <v>0.11460000000000004</v>
      </c>
      <c r="N15" s="34">
        <f t="shared" si="1"/>
        <v>0.12601319509896328</v>
      </c>
      <c r="O15" s="33">
        <f t="shared" si="8"/>
        <v>17.870000000000005</v>
      </c>
    </row>
    <row r="16" spans="1:15" ht="12.75">
      <c r="A16" s="29"/>
      <c r="B16" s="33">
        <f>B$18*0.8</f>
        <v>15736</v>
      </c>
      <c r="C16" s="34">
        <f t="shared" si="3"/>
        <v>0.17399999999999993</v>
      </c>
      <c r="D16" s="34">
        <f t="shared" si="2"/>
        <v>0.2867382972038956</v>
      </c>
      <c r="E16" s="33">
        <f t="shared" si="4"/>
        <v>27.47999999999999</v>
      </c>
      <c r="F16" s="30"/>
      <c r="G16" s="33">
        <f>G$18*0.8</f>
        <v>4400</v>
      </c>
      <c r="H16" s="34">
        <f t="shared" si="5"/>
        <v>0.44399999999999995</v>
      </c>
      <c r="I16" s="34">
        <f t="shared" si="0"/>
        <v>0.2045868677348413</v>
      </c>
      <c r="J16" s="33">
        <f t="shared" si="6"/>
        <v>23.239999999999995</v>
      </c>
      <c r="K16" s="30"/>
      <c r="L16" s="33">
        <f>L$18*0.8</f>
        <v>12000</v>
      </c>
      <c r="M16" s="34">
        <f t="shared" si="7"/>
        <v>0.07639999999999997</v>
      </c>
      <c r="N16" s="34">
        <f t="shared" si="1"/>
        <v>0.09601005340873386</v>
      </c>
      <c r="O16" s="33">
        <f t="shared" si="8"/>
        <v>12.280000000000001</v>
      </c>
    </row>
    <row r="17" spans="1:15" ht="12.75">
      <c r="A17" s="29"/>
      <c r="B17" s="33">
        <f>B$18*0.9</f>
        <v>17703</v>
      </c>
      <c r="C17" s="34">
        <f t="shared" si="3"/>
        <v>0.08699999999999997</v>
      </c>
      <c r="D17" s="34">
        <f t="shared" si="2"/>
        <v>0.16129029217719126</v>
      </c>
      <c r="E17" s="33">
        <f t="shared" si="4"/>
        <v>15.039999999999992</v>
      </c>
      <c r="F17" s="30"/>
      <c r="G17" s="33">
        <f>G$18*0.9</f>
        <v>4950</v>
      </c>
      <c r="H17" s="34">
        <f t="shared" si="5"/>
        <v>0.22199999999999998</v>
      </c>
      <c r="I17" s="34">
        <f t="shared" si="0"/>
        <v>0.11508011310084824</v>
      </c>
      <c r="J17" s="33">
        <f t="shared" si="6"/>
        <v>12.769999999999996</v>
      </c>
      <c r="K17" s="30"/>
      <c r="L17" s="33">
        <f>L$18*0.9</f>
        <v>13500</v>
      </c>
      <c r="M17" s="34">
        <f t="shared" si="7"/>
        <v>0.03820000000000001</v>
      </c>
      <c r="N17" s="34">
        <f t="shared" si="1"/>
        <v>0.05400565504241284</v>
      </c>
      <c r="O17" s="33">
        <f t="shared" si="8"/>
        <v>6.689999999999998</v>
      </c>
    </row>
    <row r="18" spans="1:15" ht="12.75">
      <c r="A18" s="32" t="s">
        <v>51</v>
      </c>
      <c r="B18" s="36">
        <v>19670</v>
      </c>
      <c r="C18" s="37">
        <v>0</v>
      </c>
      <c r="D18" s="34">
        <f t="shared" si="2"/>
        <v>0</v>
      </c>
      <c r="E18" s="26">
        <v>2.6</v>
      </c>
      <c r="F18" s="30"/>
      <c r="G18" s="26">
        <v>5500</v>
      </c>
      <c r="H18" s="34">
        <f t="shared" si="5"/>
        <v>0</v>
      </c>
      <c r="I18" s="34">
        <f t="shared" si="0"/>
        <v>0</v>
      </c>
      <c r="J18" s="26">
        <v>2.3</v>
      </c>
      <c r="K18" s="30"/>
      <c r="L18" s="26">
        <v>15000</v>
      </c>
      <c r="M18" s="34">
        <f t="shared" si="7"/>
        <v>0</v>
      </c>
      <c r="N18" s="34">
        <f t="shared" si="1"/>
        <v>0</v>
      </c>
      <c r="O18" s="26">
        <v>1.1</v>
      </c>
    </row>
    <row r="20" spans="1:2" ht="12.75">
      <c r="A20" s="26">
        <v>2</v>
      </c>
      <c r="B20" s="41" t="s">
        <v>54</v>
      </c>
    </row>
    <row r="21" spans="1:2" ht="12.75">
      <c r="A21" s="26">
        <v>0</v>
      </c>
      <c r="B21" s="41" t="s">
        <v>55</v>
      </c>
    </row>
    <row r="22" spans="1:2" ht="12.75">
      <c r="A22" s="26">
        <v>0</v>
      </c>
      <c r="B22" s="41" t="s">
        <v>56</v>
      </c>
    </row>
    <row r="24" ht="12.75">
      <c r="A24" t="s">
        <v>66</v>
      </c>
    </row>
    <row r="25" spans="1:2" ht="12.75">
      <c r="A25" s="26">
        <v>4</v>
      </c>
      <c r="B25" s="41" t="s">
        <v>57</v>
      </c>
    </row>
    <row r="26" spans="1:2" ht="12.75">
      <c r="A26" s="26">
        <v>1.4</v>
      </c>
      <c r="B26" s="41" t="s">
        <v>58</v>
      </c>
    </row>
    <row r="29" ht="12.75">
      <c r="A29" t="s">
        <v>59</v>
      </c>
    </row>
    <row r="30" spans="1:15" ht="38.25">
      <c r="A30" s="38"/>
      <c r="B30" s="39" t="s">
        <v>43</v>
      </c>
      <c r="C30" s="39" t="s">
        <v>44</v>
      </c>
      <c r="D30" s="39" t="s">
        <v>45</v>
      </c>
      <c r="E30" s="39" t="s">
        <v>52</v>
      </c>
      <c r="F30" s="38"/>
      <c r="G30" s="39" t="s">
        <v>43</v>
      </c>
      <c r="H30" s="39" t="s">
        <v>44</v>
      </c>
      <c r="I30" s="39" t="s">
        <v>45</v>
      </c>
      <c r="J30" s="39" t="s">
        <v>52</v>
      </c>
      <c r="K30" s="38"/>
      <c r="L30" s="39" t="s">
        <v>43</v>
      </c>
      <c r="M30" s="39" t="s">
        <v>44</v>
      </c>
      <c r="N30" s="39" t="s">
        <v>45</v>
      </c>
      <c r="O30" s="39" t="s">
        <v>52</v>
      </c>
    </row>
    <row r="31" spans="1:15" ht="12.75">
      <c r="A31" s="40" t="s">
        <v>49</v>
      </c>
      <c r="B31" s="33">
        <f>B8</f>
        <v>0</v>
      </c>
      <c r="C31" s="59">
        <f>C8*$A$20</f>
        <v>1.74</v>
      </c>
      <c r="D31" s="59">
        <f>B31*C31/9549</f>
        <v>0</v>
      </c>
      <c r="E31" s="33">
        <f>E8*$A$20</f>
        <v>254</v>
      </c>
      <c r="F31" s="35"/>
      <c r="G31" s="33">
        <f>G8*$A$25</f>
        <v>0</v>
      </c>
      <c r="H31" s="59">
        <f>H8/$A$25*$A$21</f>
        <v>0</v>
      </c>
      <c r="I31" s="59">
        <f>G31*H31/9549</f>
        <v>0</v>
      </c>
      <c r="J31" s="33">
        <f>J8*$A$21</f>
        <v>0</v>
      </c>
      <c r="K31" s="35"/>
      <c r="L31" s="35">
        <f>L8*$A$26</f>
        <v>0</v>
      </c>
      <c r="M31" s="59">
        <f>M8/$A$26*$A$22</f>
        <v>0</v>
      </c>
      <c r="N31" s="59">
        <f>L31*M31/9549</f>
        <v>0</v>
      </c>
      <c r="O31" s="33">
        <f>O8*$A$22</f>
        <v>0</v>
      </c>
    </row>
    <row r="32" spans="1:15" ht="12.75">
      <c r="A32" s="38"/>
      <c r="B32" s="33">
        <f aca="true" t="shared" si="9" ref="B32:B41">B9</f>
        <v>1967</v>
      </c>
      <c r="C32" s="59">
        <f aca="true" t="shared" si="10" ref="C32:C41">C9*$A$20</f>
        <v>1.566</v>
      </c>
      <c r="D32" s="59">
        <f aca="true" t="shared" si="11" ref="D32:D41">B32*C32/9549</f>
        <v>0.3225805843543827</v>
      </c>
      <c r="E32" s="33">
        <f aca="true" t="shared" si="12" ref="E32:E41">E9*$A$20</f>
        <v>229.12</v>
      </c>
      <c r="F32" s="35"/>
      <c r="G32" s="33">
        <f aca="true" t="shared" si="13" ref="G32:G41">G9*$A$25</f>
        <v>2200</v>
      </c>
      <c r="H32" s="59">
        <f aca="true" t="shared" si="14" ref="H32:H41">H9/$A$25*$A$21</f>
        <v>0</v>
      </c>
      <c r="I32" s="59">
        <f aca="true" t="shared" si="15" ref="I32:I41">G32*H32/9549</f>
        <v>0</v>
      </c>
      <c r="J32" s="33">
        <f aca="true" t="shared" si="16" ref="J32:J41">J9*$A$21</f>
        <v>0</v>
      </c>
      <c r="K32" s="35"/>
      <c r="L32" s="35">
        <f aca="true" t="shared" si="17" ref="L32:L41">L9*$A$26</f>
        <v>2100</v>
      </c>
      <c r="M32" s="59">
        <f aca="true" t="shared" si="18" ref="M32:M41">M9/$A$26*$A$22</f>
        <v>0</v>
      </c>
      <c r="N32" s="59">
        <f aca="true" t="shared" si="19" ref="N32:N41">L32*M32/9549</f>
        <v>0</v>
      </c>
      <c r="O32" s="33">
        <f aca="true" t="shared" si="20" ref="O32:O41">O9*$A$22</f>
        <v>0</v>
      </c>
    </row>
    <row r="33" spans="1:15" ht="12.75">
      <c r="A33" s="38"/>
      <c r="B33" s="33">
        <f t="shared" si="9"/>
        <v>3934</v>
      </c>
      <c r="C33" s="59">
        <f t="shared" si="10"/>
        <v>1.392</v>
      </c>
      <c r="D33" s="59">
        <f t="shared" si="11"/>
        <v>0.5734765944077913</v>
      </c>
      <c r="E33" s="33">
        <f t="shared" si="12"/>
        <v>204.24</v>
      </c>
      <c r="F33" s="35"/>
      <c r="G33" s="33">
        <f t="shared" si="13"/>
        <v>4400</v>
      </c>
      <c r="H33" s="59">
        <f t="shared" si="14"/>
        <v>0</v>
      </c>
      <c r="I33" s="59">
        <f t="shared" si="15"/>
        <v>0</v>
      </c>
      <c r="J33" s="33">
        <f t="shared" si="16"/>
        <v>0</v>
      </c>
      <c r="K33" s="35"/>
      <c r="L33" s="35">
        <f t="shared" si="17"/>
        <v>4200</v>
      </c>
      <c r="M33" s="59">
        <f t="shared" si="18"/>
        <v>0</v>
      </c>
      <c r="N33" s="59">
        <f t="shared" si="19"/>
        <v>0</v>
      </c>
      <c r="O33" s="33">
        <f t="shared" si="20"/>
        <v>0</v>
      </c>
    </row>
    <row r="34" spans="1:15" ht="12.75">
      <c r="A34" s="38"/>
      <c r="B34" s="33">
        <f t="shared" si="9"/>
        <v>5901</v>
      </c>
      <c r="C34" s="59">
        <f t="shared" si="10"/>
        <v>1.218</v>
      </c>
      <c r="D34" s="59">
        <f t="shared" si="11"/>
        <v>0.7526880301602261</v>
      </c>
      <c r="E34" s="33">
        <f t="shared" si="12"/>
        <v>179.36</v>
      </c>
      <c r="F34" s="35"/>
      <c r="G34" s="33">
        <f t="shared" si="13"/>
        <v>6600</v>
      </c>
      <c r="H34" s="59">
        <f t="shared" si="14"/>
        <v>0</v>
      </c>
      <c r="I34" s="59">
        <f t="shared" si="15"/>
        <v>0</v>
      </c>
      <c r="J34" s="33">
        <f t="shared" si="16"/>
        <v>0</v>
      </c>
      <c r="K34" s="35"/>
      <c r="L34" s="35">
        <f t="shared" si="17"/>
        <v>6300</v>
      </c>
      <c r="M34" s="59">
        <f t="shared" si="18"/>
        <v>0</v>
      </c>
      <c r="N34" s="59">
        <f t="shared" si="19"/>
        <v>0</v>
      </c>
      <c r="O34" s="33">
        <f t="shared" si="20"/>
        <v>0</v>
      </c>
    </row>
    <row r="35" spans="1:15" ht="12.75">
      <c r="A35" s="38"/>
      <c r="B35" s="33">
        <f t="shared" si="9"/>
        <v>7868</v>
      </c>
      <c r="C35" s="59">
        <f t="shared" si="10"/>
        <v>1.044</v>
      </c>
      <c r="D35" s="59">
        <f t="shared" si="11"/>
        <v>0.8602148916116872</v>
      </c>
      <c r="E35" s="33">
        <f t="shared" si="12"/>
        <v>154.48</v>
      </c>
      <c r="F35" s="35"/>
      <c r="G35" s="33">
        <f t="shared" si="13"/>
        <v>8800</v>
      </c>
      <c r="H35" s="59">
        <f t="shared" si="14"/>
        <v>0</v>
      </c>
      <c r="I35" s="59">
        <f t="shared" si="15"/>
        <v>0</v>
      </c>
      <c r="J35" s="33">
        <f t="shared" si="16"/>
        <v>0</v>
      </c>
      <c r="K35" s="35"/>
      <c r="L35" s="35">
        <f t="shared" si="17"/>
        <v>8400</v>
      </c>
      <c r="M35" s="59">
        <f t="shared" si="18"/>
        <v>0</v>
      </c>
      <c r="N35" s="59">
        <f t="shared" si="19"/>
        <v>0</v>
      </c>
      <c r="O35" s="33">
        <f t="shared" si="20"/>
        <v>0</v>
      </c>
    </row>
    <row r="36" spans="1:15" ht="12.75">
      <c r="A36" s="40" t="s">
        <v>50</v>
      </c>
      <c r="B36" s="33">
        <f t="shared" si="9"/>
        <v>9835</v>
      </c>
      <c r="C36" s="59">
        <f t="shared" si="10"/>
        <v>0.87</v>
      </c>
      <c r="D36" s="59">
        <f t="shared" si="11"/>
        <v>0.8960571787621742</v>
      </c>
      <c r="E36" s="33">
        <f t="shared" si="12"/>
        <v>129.6</v>
      </c>
      <c r="F36" s="35"/>
      <c r="G36" s="33">
        <f t="shared" si="13"/>
        <v>11000</v>
      </c>
      <c r="H36" s="59">
        <f t="shared" si="14"/>
        <v>0</v>
      </c>
      <c r="I36" s="59">
        <f t="shared" si="15"/>
        <v>0</v>
      </c>
      <c r="J36" s="33">
        <f t="shared" si="16"/>
        <v>0</v>
      </c>
      <c r="K36" s="35"/>
      <c r="L36" s="35">
        <f t="shared" si="17"/>
        <v>10500</v>
      </c>
      <c r="M36" s="59">
        <f t="shared" si="18"/>
        <v>0</v>
      </c>
      <c r="N36" s="59">
        <f t="shared" si="19"/>
        <v>0</v>
      </c>
      <c r="O36" s="33">
        <f t="shared" si="20"/>
        <v>0</v>
      </c>
    </row>
    <row r="37" spans="1:15" ht="12.75">
      <c r="A37" s="38"/>
      <c r="B37" s="33">
        <f t="shared" si="9"/>
        <v>11802</v>
      </c>
      <c r="C37" s="59">
        <f t="shared" si="10"/>
        <v>0.696</v>
      </c>
      <c r="D37" s="59">
        <f t="shared" si="11"/>
        <v>0.860214891611687</v>
      </c>
      <c r="E37" s="33">
        <f t="shared" si="12"/>
        <v>104.72</v>
      </c>
      <c r="F37" s="35"/>
      <c r="G37" s="33">
        <f t="shared" si="13"/>
        <v>13200</v>
      </c>
      <c r="H37" s="59">
        <f t="shared" si="14"/>
        <v>0</v>
      </c>
      <c r="I37" s="59">
        <f t="shared" si="15"/>
        <v>0</v>
      </c>
      <c r="J37" s="33">
        <f t="shared" si="16"/>
        <v>0</v>
      </c>
      <c r="K37" s="35"/>
      <c r="L37" s="35">
        <f t="shared" si="17"/>
        <v>12600</v>
      </c>
      <c r="M37" s="59">
        <f t="shared" si="18"/>
        <v>0</v>
      </c>
      <c r="N37" s="59">
        <f t="shared" si="19"/>
        <v>0</v>
      </c>
      <c r="O37" s="33">
        <f t="shared" si="20"/>
        <v>0</v>
      </c>
    </row>
    <row r="38" spans="1:15" ht="12.75">
      <c r="A38" s="38"/>
      <c r="B38" s="33">
        <f t="shared" si="9"/>
        <v>13769</v>
      </c>
      <c r="C38" s="59">
        <f t="shared" si="10"/>
        <v>0.522</v>
      </c>
      <c r="D38" s="59">
        <f t="shared" si="11"/>
        <v>0.7526880301602262</v>
      </c>
      <c r="E38" s="33">
        <f t="shared" si="12"/>
        <v>79.84</v>
      </c>
      <c r="F38" s="35"/>
      <c r="G38" s="33">
        <f t="shared" si="13"/>
        <v>15399.999999999998</v>
      </c>
      <c r="H38" s="59">
        <f t="shared" si="14"/>
        <v>0</v>
      </c>
      <c r="I38" s="59">
        <f t="shared" si="15"/>
        <v>0</v>
      </c>
      <c r="J38" s="33">
        <f t="shared" si="16"/>
        <v>0</v>
      </c>
      <c r="K38" s="35"/>
      <c r="L38" s="35">
        <f t="shared" si="17"/>
        <v>14699.999999999998</v>
      </c>
      <c r="M38" s="59">
        <f t="shared" si="18"/>
        <v>0</v>
      </c>
      <c r="N38" s="59">
        <f t="shared" si="19"/>
        <v>0</v>
      </c>
      <c r="O38" s="33">
        <f t="shared" si="20"/>
        <v>0</v>
      </c>
    </row>
    <row r="39" spans="1:15" ht="12.75">
      <c r="A39" s="38"/>
      <c r="B39" s="33">
        <f t="shared" si="9"/>
        <v>15736</v>
      </c>
      <c r="C39" s="59">
        <f t="shared" si="10"/>
        <v>0.34799999999999986</v>
      </c>
      <c r="D39" s="59">
        <f t="shared" si="11"/>
        <v>0.5734765944077912</v>
      </c>
      <c r="E39" s="33">
        <f t="shared" si="12"/>
        <v>54.95999999999998</v>
      </c>
      <c r="F39" s="35"/>
      <c r="G39" s="33">
        <f t="shared" si="13"/>
        <v>17600</v>
      </c>
      <c r="H39" s="59">
        <f t="shared" si="14"/>
        <v>0</v>
      </c>
      <c r="I39" s="59">
        <f t="shared" si="15"/>
        <v>0</v>
      </c>
      <c r="J39" s="33">
        <f t="shared" si="16"/>
        <v>0</v>
      </c>
      <c r="K39" s="35"/>
      <c r="L39" s="35">
        <f t="shared" si="17"/>
        <v>16800</v>
      </c>
      <c r="M39" s="59">
        <f t="shared" si="18"/>
        <v>0</v>
      </c>
      <c r="N39" s="59">
        <f t="shared" si="19"/>
        <v>0</v>
      </c>
      <c r="O39" s="33">
        <f t="shared" si="20"/>
        <v>0</v>
      </c>
    </row>
    <row r="40" spans="1:15" ht="12.75">
      <c r="A40" s="38"/>
      <c r="B40" s="33">
        <f t="shared" si="9"/>
        <v>17703</v>
      </c>
      <c r="C40" s="59">
        <f t="shared" si="10"/>
        <v>0.17399999999999993</v>
      </c>
      <c r="D40" s="59">
        <f t="shared" si="11"/>
        <v>0.3225805843543825</v>
      </c>
      <c r="E40" s="33">
        <f t="shared" si="12"/>
        <v>30.079999999999984</v>
      </c>
      <c r="F40" s="35"/>
      <c r="G40" s="33">
        <f t="shared" si="13"/>
        <v>19800</v>
      </c>
      <c r="H40" s="59">
        <f t="shared" si="14"/>
        <v>0</v>
      </c>
      <c r="I40" s="59">
        <f t="shared" si="15"/>
        <v>0</v>
      </c>
      <c r="J40" s="33">
        <f t="shared" si="16"/>
        <v>0</v>
      </c>
      <c r="K40" s="35"/>
      <c r="L40" s="35">
        <f t="shared" si="17"/>
        <v>18900</v>
      </c>
      <c r="M40" s="59">
        <f t="shared" si="18"/>
        <v>0</v>
      </c>
      <c r="N40" s="59">
        <f t="shared" si="19"/>
        <v>0</v>
      </c>
      <c r="O40" s="33">
        <f t="shared" si="20"/>
        <v>0</v>
      </c>
    </row>
    <row r="41" spans="1:15" ht="12.75">
      <c r="A41" s="40" t="s">
        <v>51</v>
      </c>
      <c r="B41" s="33">
        <f t="shared" si="9"/>
        <v>19670</v>
      </c>
      <c r="C41" s="59">
        <f t="shared" si="10"/>
        <v>0</v>
      </c>
      <c r="D41" s="59">
        <f t="shared" si="11"/>
        <v>0</v>
      </c>
      <c r="E41" s="33">
        <f t="shared" si="12"/>
        <v>5.2</v>
      </c>
      <c r="F41" s="35"/>
      <c r="G41" s="33">
        <f t="shared" si="13"/>
        <v>22000</v>
      </c>
      <c r="H41" s="59">
        <f t="shared" si="14"/>
        <v>0</v>
      </c>
      <c r="I41" s="59">
        <f t="shared" si="15"/>
        <v>0</v>
      </c>
      <c r="J41" s="33">
        <f t="shared" si="16"/>
        <v>0</v>
      </c>
      <c r="K41" s="35"/>
      <c r="L41" s="35">
        <f t="shared" si="17"/>
        <v>21000</v>
      </c>
      <c r="M41" s="59">
        <f t="shared" si="18"/>
        <v>0</v>
      </c>
      <c r="N41" s="59">
        <f t="shared" si="19"/>
        <v>0</v>
      </c>
      <c r="O41" s="33">
        <f t="shared" si="20"/>
        <v>0</v>
      </c>
    </row>
    <row r="44" ht="12.75">
      <c r="A44" t="s">
        <v>60</v>
      </c>
    </row>
    <row r="45" spans="1:5" ht="38.25">
      <c r="A45" s="38"/>
      <c r="B45" s="42" t="s">
        <v>43</v>
      </c>
      <c r="C45" s="42" t="s">
        <v>44</v>
      </c>
      <c r="D45" s="39" t="s">
        <v>45</v>
      </c>
      <c r="E45" s="42" t="s">
        <v>52</v>
      </c>
    </row>
    <row r="46" spans="1:5" ht="12.75">
      <c r="A46" s="40" t="s">
        <v>49</v>
      </c>
      <c r="B46" s="43">
        <f>B31</f>
        <v>0</v>
      </c>
      <c r="C46" s="44">
        <f>C$31-(B46-B$46)/(B$41-B$31)*C$31+H$31-(B46-B$46)/(G$41-G$31)*H$31+M$31-(B46-B$46)/(L$41-L$31)*M$31</f>
        <v>1.74</v>
      </c>
      <c r="D46" s="2">
        <f>B46*C46/9549</f>
        <v>0</v>
      </c>
      <c r="E46" s="43">
        <f>E31+J31+O31</f>
        <v>254</v>
      </c>
    </row>
    <row r="47" spans="1:5" ht="12.75">
      <c r="A47" s="38"/>
      <c r="B47" s="5">
        <f aca="true" t="shared" si="21" ref="B47:B56">B32</f>
        <v>1967</v>
      </c>
      <c r="C47" s="2">
        <f aca="true" t="shared" si="22" ref="C47:C56">C$31-(B47-B$46)/(B$41-B$31)*C$31+H$31-(B47-B$46)/(G$41-G$31)*H$31+M$31-(B47-B$46)/(L$41-L$31)*M$31</f>
        <v>1.566</v>
      </c>
      <c r="D47" s="2">
        <f aca="true" t="shared" si="23" ref="D47:D55">B47*C47/9549</f>
        <v>0.3225805843543827</v>
      </c>
      <c r="E47" s="5">
        <f aca="true" t="shared" si="24" ref="E47:E56">E32+J32+O32</f>
        <v>229.12</v>
      </c>
    </row>
    <row r="48" spans="1:5" ht="12.75">
      <c r="A48" s="38"/>
      <c r="B48" s="5">
        <f t="shared" si="21"/>
        <v>3934</v>
      </c>
      <c r="C48" s="2">
        <f t="shared" si="22"/>
        <v>1.392</v>
      </c>
      <c r="D48" s="2">
        <f t="shared" si="23"/>
        <v>0.5734765944077913</v>
      </c>
      <c r="E48" s="5">
        <f t="shared" si="24"/>
        <v>204.24</v>
      </c>
    </row>
    <row r="49" spans="1:5" ht="12.75">
      <c r="A49" s="38"/>
      <c r="B49" s="5">
        <f t="shared" si="21"/>
        <v>5901</v>
      </c>
      <c r="C49" s="2">
        <f t="shared" si="22"/>
        <v>1.218</v>
      </c>
      <c r="D49" s="2">
        <f t="shared" si="23"/>
        <v>0.7526880301602261</v>
      </c>
      <c r="E49" s="5">
        <f t="shared" si="24"/>
        <v>179.36</v>
      </c>
    </row>
    <row r="50" spans="1:5" ht="12.75">
      <c r="A50" s="38"/>
      <c r="B50" s="5">
        <f t="shared" si="21"/>
        <v>7868</v>
      </c>
      <c r="C50" s="2">
        <f t="shared" si="22"/>
        <v>1.044</v>
      </c>
      <c r="D50" s="2">
        <f t="shared" si="23"/>
        <v>0.8602148916116872</v>
      </c>
      <c r="E50" s="5">
        <f t="shared" si="24"/>
        <v>154.48</v>
      </c>
    </row>
    <row r="51" spans="1:5" ht="12.75">
      <c r="A51" s="40" t="s">
        <v>50</v>
      </c>
      <c r="B51" s="5">
        <f t="shared" si="21"/>
        <v>9835</v>
      </c>
      <c r="C51" s="2">
        <f t="shared" si="22"/>
        <v>0.87</v>
      </c>
      <c r="D51" s="2">
        <f t="shared" si="23"/>
        <v>0.8960571787621742</v>
      </c>
      <c r="E51" s="5">
        <f t="shared" si="24"/>
        <v>129.6</v>
      </c>
    </row>
    <row r="52" spans="1:5" ht="12.75">
      <c r="A52" s="38"/>
      <c r="B52" s="5">
        <f t="shared" si="21"/>
        <v>11802</v>
      </c>
      <c r="C52" s="2">
        <f t="shared" si="22"/>
        <v>0.696</v>
      </c>
      <c r="D52" s="2">
        <f t="shared" si="23"/>
        <v>0.860214891611687</v>
      </c>
      <c r="E52" s="5">
        <f t="shared" si="24"/>
        <v>104.72</v>
      </c>
    </row>
    <row r="53" spans="1:5" ht="12.75">
      <c r="A53" s="38"/>
      <c r="B53" s="5">
        <f t="shared" si="21"/>
        <v>13769</v>
      </c>
      <c r="C53" s="2">
        <f t="shared" si="22"/>
        <v>0.522</v>
      </c>
      <c r="D53" s="2">
        <f t="shared" si="23"/>
        <v>0.7526880301602262</v>
      </c>
      <c r="E53" s="5">
        <f t="shared" si="24"/>
        <v>79.84</v>
      </c>
    </row>
    <row r="54" spans="1:5" ht="12.75">
      <c r="A54" s="38"/>
      <c r="B54" s="5">
        <f t="shared" si="21"/>
        <v>15736</v>
      </c>
      <c r="C54" s="2">
        <f t="shared" si="22"/>
        <v>0.34799999999999986</v>
      </c>
      <c r="D54" s="2">
        <f t="shared" si="23"/>
        <v>0.5734765944077912</v>
      </c>
      <c r="E54" s="5">
        <f t="shared" si="24"/>
        <v>54.95999999999998</v>
      </c>
    </row>
    <row r="55" spans="1:5" ht="12.75">
      <c r="A55" s="38"/>
      <c r="B55" s="5">
        <f t="shared" si="21"/>
        <v>17703</v>
      </c>
      <c r="C55" s="2">
        <f t="shared" si="22"/>
        <v>0.17399999999999993</v>
      </c>
      <c r="D55" s="2">
        <f t="shared" si="23"/>
        <v>0.3225805843543825</v>
      </c>
      <c r="E55" s="5">
        <f t="shared" si="24"/>
        <v>30.079999999999984</v>
      </c>
    </row>
    <row r="56" spans="1:5" ht="12.75">
      <c r="A56" s="40" t="s">
        <v>51</v>
      </c>
      <c r="B56" s="43">
        <f t="shared" si="21"/>
        <v>19670</v>
      </c>
      <c r="C56" s="44">
        <f t="shared" si="22"/>
        <v>0</v>
      </c>
      <c r="D56" s="2">
        <f>B56*C56/9549</f>
        <v>0</v>
      </c>
      <c r="E56" s="43">
        <f t="shared" si="24"/>
        <v>5.2</v>
      </c>
    </row>
  </sheetData>
  <mergeCells count="6">
    <mergeCell ref="L5:O5"/>
    <mergeCell ref="L6:O6"/>
    <mergeCell ref="B5:E5"/>
    <mergeCell ref="B6:E6"/>
    <mergeCell ref="G5:J5"/>
    <mergeCell ref="G6:J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6"/>
  <sheetViews>
    <sheetView tabSelected="1" workbookViewId="0" topLeftCell="A1">
      <selection activeCell="A5" sqref="A5"/>
    </sheetView>
  </sheetViews>
  <sheetFormatPr defaultColWidth="9.140625" defaultRowHeight="12.75"/>
  <cols>
    <col min="9" max="9" width="9.57421875" style="0" bestFit="1" customWidth="1"/>
  </cols>
  <sheetData>
    <row r="1" spans="1:5" ht="12.75">
      <c r="A1" s="14" t="s">
        <v>41</v>
      </c>
      <c r="B1" s="15"/>
      <c r="C1" s="15"/>
      <c r="D1" s="15"/>
      <c r="E1" s="15"/>
    </row>
    <row r="2" spans="1:15" ht="12.75">
      <c r="A2" s="14" t="s">
        <v>34</v>
      </c>
      <c r="B2" s="14"/>
      <c r="C2" s="14"/>
      <c r="D2" s="14"/>
      <c r="E2" s="14"/>
      <c r="L2" s="74" t="s">
        <v>62</v>
      </c>
      <c r="M2" s="75"/>
      <c r="N2" s="75"/>
      <c r="O2" s="76"/>
    </row>
    <row r="3" spans="1:15" ht="12.75">
      <c r="A3" s="14" t="s">
        <v>35</v>
      </c>
      <c r="B3" s="15"/>
      <c r="C3" s="15"/>
      <c r="D3" s="15"/>
      <c r="E3" s="15"/>
      <c r="L3" s="77" t="s">
        <v>61</v>
      </c>
      <c r="M3" s="78"/>
      <c r="N3" s="78"/>
      <c r="O3" s="79"/>
    </row>
    <row r="4" spans="1:16" ht="12.75">
      <c r="A4" s="12" t="s">
        <v>29</v>
      </c>
      <c r="B4" s="10"/>
      <c r="C4" s="10"/>
      <c r="D4" s="4"/>
      <c r="L4" s="45" t="s">
        <v>0</v>
      </c>
      <c r="M4" s="45" t="s">
        <v>0</v>
      </c>
      <c r="N4" s="45" t="s">
        <v>1</v>
      </c>
      <c r="O4" s="45" t="s">
        <v>2</v>
      </c>
      <c r="P4" s="60" t="s">
        <v>65</v>
      </c>
    </row>
    <row r="5" spans="1:16" ht="13.5" thickBot="1">
      <c r="A5" s="11">
        <v>70</v>
      </c>
      <c r="B5" t="s">
        <v>69</v>
      </c>
      <c r="C5" s="4"/>
      <c r="D5" s="4"/>
      <c r="L5" s="49" t="s">
        <v>3</v>
      </c>
      <c r="M5" s="49" t="s">
        <v>39</v>
      </c>
      <c r="N5" s="49" t="s">
        <v>4</v>
      </c>
      <c r="O5" s="46" t="s">
        <v>40</v>
      </c>
      <c r="P5" s="45" t="s">
        <v>25</v>
      </c>
    </row>
    <row r="6" spans="1:20" ht="13.5" thickBot="1">
      <c r="A6" s="11">
        <v>15</v>
      </c>
      <c r="B6" t="s">
        <v>27</v>
      </c>
      <c r="C6" s="2"/>
      <c r="D6" s="2"/>
      <c r="L6" s="55">
        <f>motors!B46</f>
        <v>0</v>
      </c>
      <c r="M6" s="55">
        <f aca="true" t="shared" si="0" ref="M6:M11">L6*2*PI()/60</f>
        <v>0</v>
      </c>
      <c r="N6" s="51">
        <f>motors!$C$46-('robot acceleration'!L6-'robot acceleration'!L$6)/('robot acceleration'!L$11-'robot acceleration'!L$6)*(motors!$C$46-motors!$C$56)</f>
        <v>1.74</v>
      </c>
      <c r="O6" s="61">
        <f aca="true" t="shared" si="1" ref="O6:O11">N6*L6/9549</f>
        <v>0</v>
      </c>
      <c r="P6" s="55">
        <f>motors!E$46-('robot acceleration'!L6-'robot acceleration'!L$6)/(motors!B$56-motors!B$46)*(motors!E$46-motors!E$56)</f>
        <v>254</v>
      </c>
      <c r="S6" s="2"/>
      <c r="T6" s="2"/>
    </row>
    <row r="7" spans="1:20" ht="12.75">
      <c r="A7" s="11">
        <v>15</v>
      </c>
      <c r="B7" t="s">
        <v>28</v>
      </c>
      <c r="C7" s="2"/>
      <c r="D7" s="2"/>
      <c r="L7" s="54">
        <f>L11*0.2</f>
        <v>3934</v>
      </c>
      <c r="M7" s="58">
        <f t="shared" si="0"/>
        <v>411.9675166407415</v>
      </c>
      <c r="N7" s="50">
        <f>motors!$C$46-('robot acceleration'!L7-'robot acceleration'!L$6)/('robot acceleration'!L$11-'robot acceleration'!L$6)*(motors!$C$46-motors!$C$56)</f>
        <v>1.392</v>
      </c>
      <c r="O7" s="48">
        <f t="shared" si="1"/>
        <v>0.5734765944077913</v>
      </c>
      <c r="P7" s="54">
        <f>motors!E$46-('robot acceleration'!L7-'robot acceleration'!L$6)/(motors!B$56-motors!B$46)*(motors!E$46-motors!E$56)</f>
        <v>204.24</v>
      </c>
      <c r="S7" s="2"/>
      <c r="T7" s="2"/>
    </row>
    <row r="8" spans="2:20" ht="12.75">
      <c r="B8" s="1"/>
      <c r="C8" s="2"/>
      <c r="D8" s="2"/>
      <c r="L8" s="47">
        <f>L11*0.4</f>
        <v>7868</v>
      </c>
      <c r="M8" s="56">
        <f t="shared" si="0"/>
        <v>823.935033281483</v>
      </c>
      <c r="N8" s="48">
        <f>motors!$C$46-('robot acceleration'!L8-'robot acceleration'!L$6)/('robot acceleration'!L$11-'robot acceleration'!L$6)*(motors!$C$46-motors!$C$56)</f>
        <v>1.044</v>
      </c>
      <c r="O8" s="48">
        <f t="shared" si="1"/>
        <v>0.8602148916116872</v>
      </c>
      <c r="P8" s="47">
        <f>motors!E$46-('robot acceleration'!L8-'robot acceleration'!L$6)/(motors!B$56-motors!B$46)*(motors!E$46-motors!E$56)</f>
        <v>154.48</v>
      </c>
      <c r="S8" s="2"/>
      <c r="T8" s="2"/>
    </row>
    <row r="9" spans="1:20" ht="12.75">
      <c r="A9" s="23" t="s">
        <v>33</v>
      </c>
      <c r="B9" s="1"/>
      <c r="C9" s="2"/>
      <c r="D9" s="2"/>
      <c r="L9" s="47">
        <f>L11*0.6</f>
        <v>11802</v>
      </c>
      <c r="M9" s="56">
        <f t="shared" si="0"/>
        <v>1235.9025499222248</v>
      </c>
      <c r="N9" s="48">
        <f>motors!$C$46-('robot acceleration'!L9-'robot acceleration'!L$6)/('robot acceleration'!L$11-'robot acceleration'!L$6)*(motors!$C$46-motors!$C$56)</f>
        <v>0.696</v>
      </c>
      <c r="O9" s="48">
        <f t="shared" si="1"/>
        <v>0.860214891611687</v>
      </c>
      <c r="P9" s="47">
        <f>motors!E$46-('robot acceleration'!L9-'robot acceleration'!L$6)/(motors!B$56-motors!B$46)*(motors!E$46-motors!E$56)</f>
        <v>104.72</v>
      </c>
      <c r="S9" s="2"/>
      <c r="T9" s="2"/>
    </row>
    <row r="10" spans="1:20" ht="13.5" thickBot="1">
      <c r="A10" s="19">
        <v>0.9</v>
      </c>
      <c r="B10" s="1" t="s">
        <v>64</v>
      </c>
      <c r="C10" s="2"/>
      <c r="D10" s="2"/>
      <c r="L10" s="53">
        <f>L11*0.8</f>
        <v>15736</v>
      </c>
      <c r="M10" s="57">
        <f t="shared" si="0"/>
        <v>1647.870066562966</v>
      </c>
      <c r="N10" s="52">
        <f>motors!$C$46-('robot acceleration'!L10-'robot acceleration'!L$6)/('robot acceleration'!L$11-'robot acceleration'!L$6)*(motors!$C$46-motors!$C$56)</f>
        <v>0.34799999999999986</v>
      </c>
      <c r="O10" s="48">
        <f t="shared" si="1"/>
        <v>0.5734765944077912</v>
      </c>
      <c r="P10" s="53">
        <f>motors!E$46-('robot acceleration'!L10-'robot acceleration'!L$6)/(motors!B$56-motors!B$46)*(motors!E$46-motors!E$56)</f>
        <v>54.95999999999998</v>
      </c>
      <c r="S10" s="2"/>
      <c r="T10" s="2"/>
    </row>
    <row r="11" spans="1:20" ht="13.5" thickBot="1">
      <c r="A11">
        <v>0.2</v>
      </c>
      <c r="B11" t="s">
        <v>70</v>
      </c>
      <c r="C11" s="2"/>
      <c r="D11" s="2"/>
      <c r="L11" s="55">
        <f>motors!B56</f>
        <v>19670</v>
      </c>
      <c r="M11" s="55">
        <f t="shared" si="0"/>
        <v>2059.8375832037077</v>
      </c>
      <c r="N11" s="51">
        <f>motors!$C$46-('robot acceleration'!L11-'robot acceleration'!L$6)/('robot acceleration'!L$11-'robot acceleration'!L$6)*(motors!$C$46-motors!$C$56)</f>
        <v>0</v>
      </c>
      <c r="O11" s="61">
        <f t="shared" si="1"/>
        <v>0</v>
      </c>
      <c r="P11" s="55">
        <f>motors!E$46-('robot acceleration'!L11-'robot acceleration'!L$6)/(motors!B$56-motors!B$46)*(motors!E$46-motors!E$56)</f>
        <v>5.199999999999989</v>
      </c>
      <c r="S11" s="2"/>
      <c r="T11" s="2"/>
    </row>
    <row r="12" spans="2:4" ht="12.75">
      <c r="B12" s="1"/>
      <c r="C12" s="2"/>
      <c r="D12" s="1"/>
    </row>
    <row r="13" spans="1:4" ht="12.75">
      <c r="A13" s="13" t="s">
        <v>32</v>
      </c>
      <c r="B13" s="9"/>
      <c r="D13" s="23" t="s">
        <v>38</v>
      </c>
    </row>
    <row r="14" spans="1:10" ht="12.75">
      <c r="A14" s="8">
        <f>8*0.0254/2</f>
        <v>0.1016</v>
      </c>
      <c r="B14" s="7" t="s">
        <v>30</v>
      </c>
      <c r="D14">
        <f>1.25*9.8</f>
        <v>12.25</v>
      </c>
      <c r="E14" t="s">
        <v>5</v>
      </c>
      <c r="G14">
        <f>(0.5*0.025^2)/2*2</f>
        <v>0.00031250000000000006</v>
      </c>
      <c r="H14" t="s">
        <v>7</v>
      </c>
      <c r="I14">
        <v>0.05</v>
      </c>
      <c r="J14" t="s">
        <v>8</v>
      </c>
    </row>
    <row r="15" spans="1:12" ht="12.75">
      <c r="A15" s="8">
        <f>130/2.204</f>
        <v>58.98366606170598</v>
      </c>
      <c r="B15" t="s">
        <v>31</v>
      </c>
      <c r="D15">
        <v>0.95</v>
      </c>
      <c r="E15" t="s">
        <v>6</v>
      </c>
      <c r="G15">
        <f>(1*0.1^2)/2</f>
        <v>0.005000000000000001</v>
      </c>
      <c r="H15" t="s">
        <v>10</v>
      </c>
      <c r="L15" s="6"/>
    </row>
    <row r="16" spans="4:5" ht="13.5" thickBot="1">
      <c r="D16">
        <v>0.93</v>
      </c>
      <c r="E16" t="s">
        <v>9</v>
      </c>
    </row>
    <row r="17" spans="1:11" ht="13.5" thickTop="1">
      <c r="A17" s="24"/>
      <c r="B17" s="25" t="s">
        <v>36</v>
      </c>
      <c r="C17" s="25" t="s">
        <v>36</v>
      </c>
      <c r="D17" s="25" t="s">
        <v>13</v>
      </c>
      <c r="E17" s="24"/>
      <c r="F17" s="28" t="s">
        <v>63</v>
      </c>
      <c r="G17" s="25" t="s">
        <v>36</v>
      </c>
      <c r="H17" s="25" t="s">
        <v>36</v>
      </c>
      <c r="I17" s="28" t="s">
        <v>68</v>
      </c>
      <c r="J17" s="24"/>
      <c r="K17" s="24"/>
    </row>
    <row r="18" spans="1:11" ht="12.75">
      <c r="A18" s="4" t="s">
        <v>11</v>
      </c>
      <c r="B18" s="4" t="s">
        <v>12</v>
      </c>
      <c r="C18" s="4" t="s">
        <v>12</v>
      </c>
      <c r="D18" s="4" t="s">
        <v>37</v>
      </c>
      <c r="E18" s="4" t="s">
        <v>14</v>
      </c>
      <c r="F18" s="4" t="s">
        <v>15</v>
      </c>
      <c r="G18" s="4" t="s">
        <v>16</v>
      </c>
      <c r="H18" s="4" t="s">
        <v>16</v>
      </c>
      <c r="I18" s="4" t="s">
        <v>17</v>
      </c>
      <c r="J18" s="4" t="s">
        <v>0</v>
      </c>
      <c r="K18" s="4" t="s">
        <v>18</v>
      </c>
    </row>
    <row r="19" spans="1:11" ht="12.75">
      <c r="A19" s="4" t="s">
        <v>19</v>
      </c>
      <c r="B19" s="4" t="s">
        <v>20</v>
      </c>
      <c r="C19" s="4" t="s">
        <v>21</v>
      </c>
      <c r="D19" s="4" t="s">
        <v>22</v>
      </c>
      <c r="E19" s="4" t="s">
        <v>3</v>
      </c>
      <c r="F19" s="4" t="s">
        <v>4</v>
      </c>
      <c r="G19" s="4" t="s">
        <v>23</v>
      </c>
      <c r="H19" s="4" t="s">
        <v>24</v>
      </c>
      <c r="I19" s="4" t="s">
        <v>25</v>
      </c>
      <c r="J19" s="4" t="s">
        <v>3</v>
      </c>
      <c r="K19" s="4" t="s">
        <v>26</v>
      </c>
    </row>
    <row r="21" spans="1:11" ht="12.75">
      <c r="A21">
        <v>0</v>
      </c>
      <c r="B21" s="2">
        <v>0</v>
      </c>
      <c r="C21" s="3">
        <f>B21*3600/(0.0254*12*5280)</f>
        <v>0</v>
      </c>
      <c r="D21" s="2">
        <v>0</v>
      </c>
      <c r="E21" s="5">
        <f aca="true" t="shared" si="2" ref="E21:E52">B21*$A$7/$A$6/$A$14*60/2/PI()</f>
        <v>0</v>
      </c>
      <c r="F21" s="3">
        <f>($N$6-($N$6-$N$11)/($M$11-$M$6)*B21*$A$7/$A$6/$A$14*$A$5-$A$11)*$A$10*$A$5</f>
        <v>97.02000000000001</v>
      </c>
      <c r="G21" s="2">
        <f aca="true" t="shared" si="3" ref="G21:G52">(1/($A$15*$A$14)*F21*$A$7/$A$6*$D$15*$D$16-$D$14/$A$15)/(1+1/($A$15*$A$14^2)*($G$14*$A$7/$A$6+$G$15))</f>
        <v>13.973890280516292</v>
      </c>
      <c r="H21" s="2">
        <f aca="true" t="shared" si="4" ref="H21:H84">G21/9.80265</f>
        <v>1.4255216987769932</v>
      </c>
      <c r="I21" s="1">
        <f>F21/$A$10/$A$5*(P$6-P$11)/(N$6-N$11)</f>
        <v>220.20229885057478</v>
      </c>
      <c r="J21" s="5">
        <f aca="true" t="shared" si="5" ref="J21:J52">E21*$A$5</f>
        <v>0</v>
      </c>
      <c r="K21" s="20">
        <f aca="true" t="shared" si="6" ref="K21:K52">G21*$A$15</f>
        <v>824.2312778888919</v>
      </c>
    </row>
    <row r="22" spans="1:11" ht="12.75">
      <c r="A22">
        <f aca="true" t="shared" si="7" ref="A22:A52">A21+$I$14</f>
        <v>0.05</v>
      </c>
      <c r="B22" s="2">
        <f aca="true" t="shared" si="8" ref="B22:B52">B21+G21*$I$14</f>
        <v>0.6986945140258146</v>
      </c>
      <c r="C22" s="3">
        <f aca="true" t="shared" si="9" ref="C22:C37">B22*3600/(0.0254*12*5280)</f>
        <v>1.5629351154836586</v>
      </c>
      <c r="D22" s="2">
        <f aca="true" t="shared" si="10" ref="D22:D52">D21+B22*$I$14</f>
        <v>0.034934725701290734</v>
      </c>
      <c r="E22" s="5">
        <f t="shared" si="2"/>
        <v>65.66969623133741</v>
      </c>
      <c r="F22" s="3">
        <f aca="true" t="shared" si="11" ref="F22:F85">($N$6-($N$6-$N$11)/($M$11-$M$6)*B22*$A$7/$A$6/$A$14*$A$5-$A$11)*$A$10*$A$5</f>
        <v>71.40180747018076</v>
      </c>
      <c r="G22" s="2">
        <f t="shared" si="3"/>
        <v>10.229710784784071</v>
      </c>
      <c r="H22" s="2">
        <f t="shared" si="4"/>
        <v>1.0435658505387901</v>
      </c>
      <c r="I22" s="1">
        <f aca="true" t="shared" si="12" ref="I22:I85">F22/$A$10/$A$5*(P$6-P$11)/(N$6-N$11)</f>
        <v>162.05774218738344</v>
      </c>
      <c r="J22" s="5">
        <f t="shared" si="5"/>
        <v>4596.878736193619</v>
      </c>
      <c r="K22" s="1">
        <f t="shared" si="6"/>
        <v>603.3858448375358</v>
      </c>
    </row>
    <row r="23" spans="1:11" ht="12.75">
      <c r="A23">
        <f t="shared" si="7"/>
        <v>0.1</v>
      </c>
      <c r="B23" s="2">
        <f t="shared" si="8"/>
        <v>1.2101800532650182</v>
      </c>
      <c r="C23" s="3">
        <f t="shared" si="9"/>
        <v>2.7070956810688496</v>
      </c>
      <c r="D23" s="2">
        <f t="shared" si="10"/>
        <v>0.09544372836454165</v>
      </c>
      <c r="E23" s="5">
        <f t="shared" si="2"/>
        <v>113.74378199311468</v>
      </c>
      <c r="F23" s="3">
        <f t="shared" si="11"/>
        <v>52.64778155841555</v>
      </c>
      <c r="G23" s="2">
        <f t="shared" si="3"/>
        <v>7.4887508517392725</v>
      </c>
      <c r="H23" s="2">
        <f t="shared" si="4"/>
        <v>0.7639516714091876</v>
      </c>
      <c r="I23" s="1">
        <f t="shared" si="12"/>
        <v>119.49250184030095</v>
      </c>
      <c r="J23" s="5">
        <f t="shared" si="5"/>
        <v>7962.064739518028</v>
      </c>
      <c r="K23" s="1">
        <f t="shared" si="6"/>
        <v>441.7139794583055</v>
      </c>
    </row>
    <row r="24" spans="1:11" ht="12.75">
      <c r="A24">
        <f t="shared" si="7"/>
        <v>0.15000000000000002</v>
      </c>
      <c r="B24" s="2">
        <f t="shared" si="8"/>
        <v>1.584617595851982</v>
      </c>
      <c r="C24" s="3">
        <f t="shared" si="9"/>
        <v>3.5446886091892944</v>
      </c>
      <c r="D24" s="2">
        <f t="shared" si="10"/>
        <v>0.17467460815714075</v>
      </c>
      <c r="E24" s="5">
        <f t="shared" si="2"/>
        <v>148.9368444627391</v>
      </c>
      <c r="F24" s="3">
        <f t="shared" si="11"/>
        <v>38.91872992880621</v>
      </c>
      <c r="G24" s="2">
        <f t="shared" si="3"/>
        <v>5.482206730892389</v>
      </c>
      <c r="H24" s="2">
        <f t="shared" si="4"/>
        <v>0.5592576222646314</v>
      </c>
      <c r="I24" s="1">
        <f t="shared" si="12"/>
        <v>88.332238699936</v>
      </c>
      <c r="J24" s="5">
        <f t="shared" si="5"/>
        <v>10425.579112391737</v>
      </c>
      <c r="K24" s="1">
        <f t="shared" si="6"/>
        <v>323.3606510961935</v>
      </c>
    </row>
    <row r="25" spans="1:11" ht="12.75">
      <c r="A25">
        <f t="shared" si="7"/>
        <v>0.2</v>
      </c>
      <c r="B25" s="2">
        <f t="shared" si="8"/>
        <v>1.8587279323966013</v>
      </c>
      <c r="C25" s="3">
        <f t="shared" si="9"/>
        <v>4.157855969033199</v>
      </c>
      <c r="D25" s="2">
        <f t="shared" si="10"/>
        <v>0.2676110047769708</v>
      </c>
      <c r="E25" s="5">
        <f t="shared" si="2"/>
        <v>174.7002391558449</v>
      </c>
      <c r="F25" s="3">
        <f t="shared" si="11"/>
        <v>28.86825545813624</v>
      </c>
      <c r="G25" s="2">
        <f t="shared" si="3"/>
        <v>4.013298243626517</v>
      </c>
      <c r="H25" s="2">
        <f t="shared" si="4"/>
        <v>0.4094095212648128</v>
      </c>
      <c r="I25" s="1">
        <f t="shared" si="12"/>
        <v>65.52109065849568</v>
      </c>
      <c r="J25" s="5">
        <f t="shared" si="5"/>
        <v>12229.016740909145</v>
      </c>
      <c r="K25" s="1">
        <f t="shared" si="6"/>
        <v>236.7190434080976</v>
      </c>
    </row>
    <row r="26" spans="1:11" ht="12.75">
      <c r="A26">
        <f t="shared" si="7"/>
        <v>0.25</v>
      </c>
      <c r="B26" s="2">
        <f t="shared" si="8"/>
        <v>2.059392844577927</v>
      </c>
      <c r="C26" s="3">
        <f t="shared" si="9"/>
        <v>4.606730593633516</v>
      </c>
      <c r="D26" s="2">
        <f t="shared" si="10"/>
        <v>0.3705806470058672</v>
      </c>
      <c r="E26" s="5">
        <f t="shared" si="2"/>
        <v>193.56056160393095</v>
      </c>
      <c r="F26" s="3">
        <f t="shared" si="11"/>
        <v>21.510716145825935</v>
      </c>
      <c r="G26" s="2">
        <f t="shared" si="3"/>
        <v>2.9379707083161906</v>
      </c>
      <c r="H26" s="2">
        <f t="shared" si="4"/>
        <v>0.29971188487972034</v>
      </c>
      <c r="I26" s="1">
        <f t="shared" si="12"/>
        <v>48.82198665463869</v>
      </c>
      <c r="J26" s="5">
        <f t="shared" si="5"/>
        <v>13549.239312275167</v>
      </c>
      <c r="K26" s="1">
        <f t="shared" si="6"/>
        <v>173.29228315839597</v>
      </c>
    </row>
    <row r="27" spans="1:11" ht="12.75">
      <c r="A27">
        <f t="shared" si="7"/>
        <v>0.3</v>
      </c>
      <c r="B27" s="2">
        <f t="shared" si="8"/>
        <v>2.2062913799937367</v>
      </c>
      <c r="C27" s="3">
        <f t="shared" si="9"/>
        <v>4.93533325875478</v>
      </c>
      <c r="D27" s="16">
        <f t="shared" si="10"/>
        <v>0.480895216005554</v>
      </c>
      <c r="E27" s="5">
        <f t="shared" si="2"/>
        <v>207.36742855927704</v>
      </c>
      <c r="F27" s="3">
        <f t="shared" si="11"/>
        <v>16.12456399050552</v>
      </c>
      <c r="G27" s="2">
        <f t="shared" si="3"/>
        <v>2.1507676128062005</v>
      </c>
      <c r="H27" s="2">
        <f t="shared" si="4"/>
        <v>0.21940675356216946</v>
      </c>
      <c r="I27" s="1">
        <f t="shared" si="12"/>
        <v>36.59725890200487</v>
      </c>
      <c r="J27" s="5">
        <f t="shared" si="5"/>
        <v>14515.719999149393</v>
      </c>
      <c r="K27" s="1">
        <f t="shared" si="6"/>
        <v>126.86015865009348</v>
      </c>
    </row>
    <row r="28" spans="1:11" ht="12.75">
      <c r="A28">
        <f t="shared" si="7"/>
        <v>0.35</v>
      </c>
      <c r="B28" s="2">
        <f t="shared" si="8"/>
        <v>2.3138297606340466</v>
      </c>
      <c r="C28" s="3">
        <f t="shared" si="9"/>
        <v>5.17588976519785</v>
      </c>
      <c r="D28" s="2">
        <f t="shared" si="10"/>
        <v>0.5965867040372563</v>
      </c>
      <c r="E28" s="5">
        <f t="shared" si="2"/>
        <v>217.47486843191663</v>
      </c>
      <c r="F28" s="3">
        <f t="shared" si="11"/>
        <v>12.181583354068684</v>
      </c>
      <c r="G28" s="2">
        <f t="shared" si="3"/>
        <v>1.574488578528829</v>
      </c>
      <c r="H28" s="2">
        <f t="shared" si="4"/>
        <v>0.160618667251083</v>
      </c>
      <c r="I28" s="1">
        <f t="shared" si="12"/>
        <v>27.648038117973805</v>
      </c>
      <c r="J28" s="5">
        <f t="shared" si="5"/>
        <v>15223.240790234164</v>
      </c>
      <c r="K28" s="1">
        <f t="shared" si="6"/>
        <v>92.86910853391458</v>
      </c>
    </row>
    <row r="29" spans="1:11" ht="12.75">
      <c r="A29">
        <f t="shared" si="7"/>
        <v>0.39999999999999997</v>
      </c>
      <c r="B29" s="2">
        <f t="shared" si="8"/>
        <v>2.392554189560488</v>
      </c>
      <c r="C29" s="3">
        <f t="shared" si="9"/>
        <v>5.351991297334664</v>
      </c>
      <c r="D29" s="2">
        <f t="shared" si="10"/>
        <v>0.7162144135152807</v>
      </c>
      <c r="E29" s="5">
        <f t="shared" si="2"/>
        <v>224.874109773883</v>
      </c>
      <c r="F29" s="3">
        <f t="shared" si="11"/>
        <v>9.29508927611013</v>
      </c>
      <c r="G29" s="2">
        <f t="shared" si="3"/>
        <v>1.1526183810640762</v>
      </c>
      <c r="H29" s="2">
        <f t="shared" si="4"/>
        <v>0.11758232529612668</v>
      </c>
      <c r="I29" s="1">
        <f t="shared" si="12"/>
        <v>21.0966813710655</v>
      </c>
      <c r="J29" s="5">
        <f t="shared" si="5"/>
        <v>15741.18768417181</v>
      </c>
      <c r="K29" s="1">
        <f t="shared" si="6"/>
        <v>67.98565768526764</v>
      </c>
    </row>
    <row r="30" spans="1:11" ht="12.75">
      <c r="A30">
        <f t="shared" si="7"/>
        <v>0.44999999999999996</v>
      </c>
      <c r="B30" s="2">
        <f t="shared" si="8"/>
        <v>2.4501851086136917</v>
      </c>
      <c r="C30" s="3">
        <f t="shared" si="9"/>
        <v>5.480907991709225</v>
      </c>
      <c r="D30" s="18">
        <f t="shared" si="10"/>
        <v>0.8387236689459653</v>
      </c>
      <c r="E30" s="5">
        <f t="shared" si="2"/>
        <v>230.2907902712725</v>
      </c>
      <c r="F30" s="3">
        <f t="shared" si="11"/>
        <v>7.1820055888366685</v>
      </c>
      <c r="G30" s="2">
        <f t="shared" si="3"/>
        <v>0.8437845472389014</v>
      </c>
      <c r="H30" s="2">
        <f t="shared" si="4"/>
        <v>0.08607718802965539</v>
      </c>
      <c r="I30" s="1">
        <f t="shared" si="12"/>
        <v>16.30070233992486</v>
      </c>
      <c r="J30" s="5">
        <f t="shared" si="5"/>
        <v>16120.355318989075</v>
      </c>
      <c r="K30" s="1">
        <f t="shared" si="6"/>
        <v>49.769505962367134</v>
      </c>
    </row>
    <row r="31" spans="1:11" ht="12.75">
      <c r="A31">
        <f t="shared" si="7"/>
        <v>0.49999999999999994</v>
      </c>
      <c r="B31" s="2">
        <f t="shared" si="8"/>
        <v>2.4923743359756365</v>
      </c>
      <c r="C31" s="3">
        <f t="shared" si="9"/>
        <v>5.575282605528894</v>
      </c>
      <c r="D31" s="2">
        <f t="shared" si="10"/>
        <v>0.9633423857447472</v>
      </c>
      <c r="E31" s="5">
        <f t="shared" si="2"/>
        <v>234.2561194523048</v>
      </c>
      <c r="F31" s="3">
        <f t="shared" si="11"/>
        <v>5.6351038634816515</v>
      </c>
      <c r="G31" s="2">
        <f t="shared" si="3"/>
        <v>0.6176999897415144</v>
      </c>
      <c r="H31" s="2">
        <f t="shared" si="4"/>
        <v>0.06301357181389873</v>
      </c>
      <c r="I31" s="1">
        <f t="shared" si="12"/>
        <v>12.789763193160326</v>
      </c>
      <c r="J31" s="5">
        <f t="shared" si="5"/>
        <v>16397.928361661336</v>
      </c>
      <c r="K31" s="1">
        <f t="shared" si="6"/>
        <v>36.4342099212327</v>
      </c>
    </row>
    <row r="32" spans="1:11" ht="12.75">
      <c r="A32">
        <f t="shared" si="7"/>
        <v>0.5499999999999999</v>
      </c>
      <c r="B32" s="2">
        <f t="shared" si="8"/>
        <v>2.523259335462712</v>
      </c>
      <c r="C32" s="3">
        <f t="shared" si="9"/>
        <v>5.6443703817616155</v>
      </c>
      <c r="D32" s="2">
        <f t="shared" si="10"/>
        <v>1.0895053525178828</v>
      </c>
      <c r="E32" s="5">
        <f t="shared" si="2"/>
        <v>237.15897398129624</v>
      </c>
      <c r="F32" s="3">
        <f t="shared" si="11"/>
        <v>4.502680683880115</v>
      </c>
      <c r="G32" s="2">
        <f t="shared" si="3"/>
        <v>0.45219277666937213</v>
      </c>
      <c r="H32" s="2">
        <f t="shared" si="4"/>
        <v>0.04612964623539269</v>
      </c>
      <c r="I32" s="1">
        <f t="shared" si="12"/>
        <v>10.219548934039159</v>
      </c>
      <c r="J32" s="5">
        <f t="shared" si="5"/>
        <v>16601.12817869074</v>
      </c>
      <c r="K32" s="1">
        <f t="shared" si="6"/>
        <v>26.671987734581837</v>
      </c>
    </row>
    <row r="33" spans="1:11" ht="12.75">
      <c r="A33">
        <f t="shared" si="7"/>
        <v>0.6</v>
      </c>
      <c r="B33" s="2">
        <f t="shared" si="8"/>
        <v>2.5458689742961806</v>
      </c>
      <c r="C33" s="3">
        <f t="shared" si="9"/>
        <v>5.694946703418443</v>
      </c>
      <c r="D33" s="2">
        <f t="shared" si="10"/>
        <v>1.2167988012326918</v>
      </c>
      <c r="E33" s="5">
        <f t="shared" si="2"/>
        <v>239.28403448239996</v>
      </c>
      <c r="F33" s="3">
        <f t="shared" si="11"/>
        <v>3.67368021366305</v>
      </c>
      <c r="G33" s="2">
        <f t="shared" si="3"/>
        <v>0.3310317478838255</v>
      </c>
      <c r="H33" s="2">
        <f t="shared" si="4"/>
        <v>0.03376961820363121</v>
      </c>
      <c r="I33" s="1">
        <f t="shared" si="12"/>
        <v>8.338000703880375</v>
      </c>
      <c r="J33" s="5">
        <f t="shared" si="5"/>
        <v>16749.882413768</v>
      </c>
      <c r="K33" s="1">
        <f t="shared" si="6"/>
        <v>19.52546607300241</v>
      </c>
    </row>
    <row r="34" spans="1:11" ht="12.75">
      <c r="A34">
        <f t="shared" si="7"/>
        <v>0.65</v>
      </c>
      <c r="B34" s="2">
        <f t="shared" si="8"/>
        <v>2.562420561690372</v>
      </c>
      <c r="C34" s="3">
        <f t="shared" si="9"/>
        <v>5.731971549951619</v>
      </c>
      <c r="D34" s="2">
        <f t="shared" si="10"/>
        <v>1.3449198293172104</v>
      </c>
      <c r="E34" s="5">
        <f t="shared" si="2"/>
        <v>240.8397039409451</v>
      </c>
      <c r="F34" s="3">
        <f t="shared" si="11"/>
        <v>3.0668030391231453</v>
      </c>
      <c r="G34" s="2">
        <f t="shared" si="3"/>
        <v>0.2423347381047266</v>
      </c>
      <c r="H34" s="2">
        <f t="shared" si="4"/>
        <v>0.024721349645731167</v>
      </c>
      <c r="I34" s="1">
        <f t="shared" si="12"/>
        <v>6.9605965711899165</v>
      </c>
      <c r="J34" s="5">
        <f t="shared" si="5"/>
        <v>16858.779275866156</v>
      </c>
      <c r="K34" s="1">
        <f t="shared" si="6"/>
        <v>14.29379126752017</v>
      </c>
    </row>
    <row r="35" spans="1:11" ht="12.75">
      <c r="A35">
        <f t="shared" si="7"/>
        <v>0.7000000000000001</v>
      </c>
      <c r="B35" s="2">
        <f t="shared" si="8"/>
        <v>2.574537298595608</v>
      </c>
      <c r="C35" s="3">
        <f t="shared" si="9"/>
        <v>5.759075918476218</v>
      </c>
      <c r="D35" s="2">
        <f t="shared" si="10"/>
        <v>1.4736466942469908</v>
      </c>
      <c r="E35" s="5">
        <f t="shared" si="2"/>
        <v>241.97854561768466</v>
      </c>
      <c r="F35" s="3">
        <f t="shared" si="11"/>
        <v>2.6225332006740727</v>
      </c>
      <c r="G35" s="2">
        <f t="shared" si="3"/>
        <v>0.17740330245574096</v>
      </c>
      <c r="H35" s="2">
        <f t="shared" si="4"/>
        <v>0.018097484094172594</v>
      </c>
      <c r="I35" s="1">
        <f t="shared" si="12"/>
        <v>5.952255613279596</v>
      </c>
      <c r="J35" s="5">
        <f t="shared" si="5"/>
        <v>16938.498193237927</v>
      </c>
      <c r="K35" s="1">
        <f t="shared" si="6"/>
        <v>10.46389715029325</v>
      </c>
    </row>
    <row r="36" spans="1:11" ht="12.75">
      <c r="A36">
        <f t="shared" si="7"/>
        <v>0.7500000000000001</v>
      </c>
      <c r="B36" s="2">
        <f t="shared" si="8"/>
        <v>2.583407463718395</v>
      </c>
      <c r="C36" s="3">
        <f t="shared" si="9"/>
        <v>5.778917912755895</v>
      </c>
      <c r="D36" s="2">
        <f t="shared" si="10"/>
        <v>1.6028170674329105</v>
      </c>
      <c r="E36" s="5">
        <f t="shared" si="2"/>
        <v>242.81224480587332</v>
      </c>
      <c r="F36" s="3">
        <f t="shared" si="11"/>
        <v>2.297301510249702</v>
      </c>
      <c r="G36" s="2">
        <f t="shared" si="3"/>
        <v>0.12986966692576202</v>
      </c>
      <c r="H36" s="2">
        <f t="shared" si="4"/>
        <v>0.013248424347065541</v>
      </c>
      <c r="I36" s="1">
        <f t="shared" si="12"/>
        <v>5.214090638114632</v>
      </c>
      <c r="J36" s="5">
        <f t="shared" si="5"/>
        <v>16996.857136411134</v>
      </c>
      <c r="K36" s="1">
        <f t="shared" si="6"/>
        <v>7.660189065494129</v>
      </c>
    </row>
    <row r="37" spans="1:11" ht="12.75">
      <c r="A37">
        <f t="shared" si="7"/>
        <v>0.8000000000000002</v>
      </c>
      <c r="B37" s="2">
        <f t="shared" si="8"/>
        <v>2.589900947064683</v>
      </c>
      <c r="C37" s="3">
        <f t="shared" si="9"/>
        <v>5.793443421315058</v>
      </c>
      <c r="D37" s="2">
        <f t="shared" si="10"/>
        <v>1.7323121147861447</v>
      </c>
      <c r="E37" s="5">
        <f t="shared" si="2"/>
        <v>243.42256171873555</v>
      </c>
      <c r="F37" s="3">
        <f t="shared" si="11"/>
        <v>2.0592127558441566</v>
      </c>
      <c r="G37" s="2">
        <f t="shared" si="3"/>
        <v>0.09507224585977404</v>
      </c>
      <c r="H37" s="2">
        <f t="shared" si="4"/>
        <v>0.009698626989617506</v>
      </c>
      <c r="I37" s="1">
        <f t="shared" si="12"/>
        <v>4.673710396406005</v>
      </c>
      <c r="J37" s="5">
        <f t="shared" si="5"/>
        <v>17039.579320311488</v>
      </c>
      <c r="K37" s="1">
        <f t="shared" si="6"/>
        <v>5.607709601529321</v>
      </c>
    </row>
    <row r="38" spans="1:11" ht="12.75">
      <c r="A38">
        <f t="shared" si="7"/>
        <v>0.8500000000000002</v>
      </c>
      <c r="B38" s="2">
        <f t="shared" si="8"/>
        <v>2.594654559357672</v>
      </c>
      <c r="C38" s="3">
        <f aca="true" t="shared" si="13" ref="C38:C101">B38*3600/(0.0254*12*5280)</f>
        <v>5.8040769491716</v>
      </c>
      <c r="D38" s="2">
        <f t="shared" si="10"/>
        <v>1.8620448427540284</v>
      </c>
      <c r="E38" s="5">
        <f t="shared" si="2"/>
        <v>243.8693496482463</v>
      </c>
      <c r="F38" s="3">
        <f t="shared" si="11"/>
        <v>1.8849177635559988</v>
      </c>
      <c r="G38" s="2">
        <f t="shared" si="3"/>
        <v>0.06959848397846574</v>
      </c>
      <c r="H38" s="2">
        <f t="shared" si="4"/>
        <v>0.007099966231423721</v>
      </c>
      <c r="I38" s="1">
        <f t="shared" si="12"/>
        <v>4.278120229636312</v>
      </c>
      <c r="J38" s="5">
        <f t="shared" si="5"/>
        <v>17070.85447537724</v>
      </c>
      <c r="K38" s="1">
        <f t="shared" si="6"/>
        <v>4.105173737386817</v>
      </c>
    </row>
    <row r="39" spans="1:11" ht="12.75">
      <c r="A39">
        <f t="shared" si="7"/>
        <v>0.9000000000000002</v>
      </c>
      <c r="B39" s="2">
        <f t="shared" si="8"/>
        <v>2.598134483556595</v>
      </c>
      <c r="C39" s="3">
        <f t="shared" si="13"/>
        <v>5.81186131790577</v>
      </c>
      <c r="D39" s="21">
        <f t="shared" si="10"/>
        <v>1.9919515669318582</v>
      </c>
      <c r="E39" s="5">
        <f t="shared" si="2"/>
        <v>244.1964247296501</v>
      </c>
      <c r="F39" s="3">
        <f t="shared" si="11"/>
        <v>1.757323562760693</v>
      </c>
      <c r="G39" s="2">
        <f t="shared" si="3"/>
        <v>0.05095018980876402</v>
      </c>
      <c r="H39" s="2">
        <f t="shared" si="4"/>
        <v>0.005197593488369371</v>
      </c>
      <c r="I39" s="1">
        <f t="shared" si="12"/>
        <v>3.9885249262439366</v>
      </c>
      <c r="J39" s="5">
        <f t="shared" si="5"/>
        <v>17093.749731075506</v>
      </c>
      <c r="K39" s="1">
        <f t="shared" si="6"/>
        <v>3.0052289814606725</v>
      </c>
    </row>
    <row r="40" spans="1:11" ht="12.75">
      <c r="A40">
        <f t="shared" si="7"/>
        <v>0.9500000000000003</v>
      </c>
      <c r="B40" s="2">
        <f t="shared" si="8"/>
        <v>2.6006819930470333</v>
      </c>
      <c r="C40" s="3">
        <f t="shared" si="13"/>
        <v>5.817559934339284</v>
      </c>
      <c r="D40" s="2">
        <f t="shared" si="10"/>
        <v>2.1219856665842096</v>
      </c>
      <c r="E40" s="5">
        <f t="shared" si="2"/>
        <v>244.43586295483317</v>
      </c>
      <c r="F40" s="3">
        <f t="shared" si="11"/>
        <v>1.6639170921394617</v>
      </c>
      <c r="G40" s="2">
        <f t="shared" si="3"/>
        <v>0.03729854004223014</v>
      </c>
      <c r="H40" s="2">
        <f t="shared" si="4"/>
        <v>0.0038049445856202296</v>
      </c>
      <c r="I40" s="1">
        <f t="shared" si="12"/>
        <v>3.776524106224211</v>
      </c>
      <c r="J40" s="5">
        <f t="shared" si="5"/>
        <v>17110.510406838323</v>
      </c>
      <c r="K40" s="1">
        <f t="shared" si="6"/>
        <v>2.2000046304400716</v>
      </c>
    </row>
    <row r="41" spans="1:11" ht="12.75">
      <c r="A41">
        <f t="shared" si="7"/>
        <v>1.0000000000000002</v>
      </c>
      <c r="B41" s="2">
        <f t="shared" si="8"/>
        <v>2.6025469200491447</v>
      </c>
      <c r="C41" s="3">
        <f t="shared" si="13"/>
        <v>5.821731657232339</v>
      </c>
      <c r="D41" s="16">
        <f t="shared" si="10"/>
        <v>2.252113012586667</v>
      </c>
      <c r="E41" s="5">
        <f t="shared" si="2"/>
        <v>244.611145839218</v>
      </c>
      <c r="F41" s="3">
        <f t="shared" si="11"/>
        <v>1.595538053754179</v>
      </c>
      <c r="G41" s="2">
        <f t="shared" si="3"/>
        <v>0.027304728294502267</v>
      </c>
      <c r="H41" s="2">
        <f t="shared" si="4"/>
        <v>0.0027854435580687126</v>
      </c>
      <c r="I41" s="1">
        <f t="shared" si="12"/>
        <v>3.621327018555371</v>
      </c>
      <c r="J41" s="5">
        <f t="shared" si="5"/>
        <v>17122.780208745262</v>
      </c>
      <c r="K41" s="1">
        <f t="shared" si="6"/>
        <v>1.6105329756285365</v>
      </c>
    </row>
    <row r="42" spans="1:11" ht="12.75">
      <c r="A42">
        <f t="shared" si="7"/>
        <v>1.0500000000000003</v>
      </c>
      <c r="B42" s="2">
        <f t="shared" si="8"/>
        <v>2.6039121564638696</v>
      </c>
      <c r="C42" s="3">
        <f t="shared" si="13"/>
        <v>5.8247856041156725</v>
      </c>
      <c r="D42" s="2">
        <f t="shared" si="10"/>
        <v>2.3823086204098605</v>
      </c>
      <c r="E42" s="5">
        <f t="shared" si="2"/>
        <v>244.73946323521753</v>
      </c>
      <c r="F42" s="3">
        <f t="shared" si="11"/>
        <v>1.545480569948246</v>
      </c>
      <c r="G42" s="2">
        <f t="shared" si="3"/>
        <v>0.01998866943297395</v>
      </c>
      <c r="H42" s="2">
        <f t="shared" si="4"/>
        <v>0.00203910875456881</v>
      </c>
      <c r="I42" s="1">
        <f t="shared" si="12"/>
        <v>3.5077136088590004</v>
      </c>
      <c r="J42" s="5">
        <f t="shared" si="5"/>
        <v>17131.762426465226</v>
      </c>
      <c r="K42" s="1">
        <f t="shared" si="6"/>
        <v>1.1790050028523653</v>
      </c>
    </row>
    <row r="43" spans="1:11" ht="12.75">
      <c r="A43">
        <f t="shared" si="7"/>
        <v>1.1000000000000003</v>
      </c>
      <c r="B43" s="2">
        <f t="shared" si="8"/>
        <v>2.604911589935518</v>
      </c>
      <c r="C43" s="3">
        <f t="shared" si="13"/>
        <v>5.827021273119897</v>
      </c>
      <c r="D43" s="2">
        <f t="shared" si="10"/>
        <v>2.5125541999066363</v>
      </c>
      <c r="E43" s="5">
        <f t="shared" si="2"/>
        <v>244.8333991273264</v>
      </c>
      <c r="F43" s="3">
        <f t="shared" si="11"/>
        <v>1.508835543282858</v>
      </c>
      <c r="G43" s="2">
        <f t="shared" si="3"/>
        <v>0.014632883410935089</v>
      </c>
      <c r="H43" s="2">
        <f t="shared" si="4"/>
        <v>0.0014927477172943123</v>
      </c>
      <c r="I43" s="1">
        <f t="shared" si="12"/>
        <v>3.424541900828088</v>
      </c>
      <c r="J43" s="5">
        <f t="shared" si="5"/>
        <v>17138.33793891285</v>
      </c>
      <c r="K43" s="1">
        <f t="shared" si="6"/>
        <v>0.8631011086304725</v>
      </c>
    </row>
    <row r="44" spans="1:11" ht="12.75">
      <c r="A44">
        <f t="shared" si="7"/>
        <v>1.1500000000000004</v>
      </c>
      <c r="B44" s="2">
        <f t="shared" si="8"/>
        <v>2.605643234106065</v>
      </c>
      <c r="C44" s="3">
        <f t="shared" si="13"/>
        <v>5.828657914517863</v>
      </c>
      <c r="D44" s="2">
        <f t="shared" si="10"/>
        <v>2.6428363616119395</v>
      </c>
      <c r="E44" s="5">
        <f t="shared" si="2"/>
        <v>244.9021657334249</v>
      </c>
      <c r="F44" s="3">
        <f t="shared" si="11"/>
        <v>1.482009225273872</v>
      </c>
      <c r="G44" s="2">
        <f t="shared" si="3"/>
        <v>0.010712132572704657</v>
      </c>
      <c r="H44" s="2">
        <f t="shared" si="4"/>
        <v>0.0010927792558853633</v>
      </c>
      <c r="I44" s="1">
        <f t="shared" si="12"/>
        <v>3.363655311513769</v>
      </c>
      <c r="J44" s="5">
        <f t="shared" si="5"/>
        <v>17143.151601339745</v>
      </c>
      <c r="K44" s="1">
        <f t="shared" si="6"/>
        <v>0.6318408504771349</v>
      </c>
    </row>
    <row r="45" spans="1:11" ht="12.75">
      <c r="A45">
        <f t="shared" si="7"/>
        <v>1.2000000000000004</v>
      </c>
      <c r="B45" s="2">
        <f t="shared" si="8"/>
        <v>2.6061788407347</v>
      </c>
      <c r="C45" s="3">
        <f t="shared" si="13"/>
        <v>5.829856032423722</v>
      </c>
      <c r="D45" s="2">
        <f t="shared" si="10"/>
        <v>2.7731453036486746</v>
      </c>
      <c r="E45" s="5">
        <f t="shared" si="2"/>
        <v>244.95250693962575</v>
      </c>
      <c r="F45" s="3">
        <f t="shared" si="11"/>
        <v>1.4623707803495534</v>
      </c>
      <c r="G45" s="2">
        <f t="shared" si="3"/>
        <v>0.00784191201642954</v>
      </c>
      <c r="H45" s="2">
        <f t="shared" si="4"/>
        <v>0.0007999787829239583</v>
      </c>
      <c r="I45" s="1">
        <f t="shared" si="12"/>
        <v>3.319082741753046</v>
      </c>
      <c r="J45" s="5">
        <f t="shared" si="5"/>
        <v>17146.6754857738</v>
      </c>
      <c r="K45" s="1">
        <f t="shared" si="6"/>
        <v>0.4625447196623593</v>
      </c>
    </row>
    <row r="46" spans="1:11" ht="12.75">
      <c r="A46">
        <f t="shared" si="7"/>
        <v>1.2500000000000004</v>
      </c>
      <c r="B46" s="2">
        <f t="shared" si="8"/>
        <v>2.6065709363355216</v>
      </c>
      <c r="C46" s="3">
        <f t="shared" si="13"/>
        <v>5.830733125303153</v>
      </c>
      <c r="D46" s="2">
        <f t="shared" si="10"/>
        <v>2.903473850465451</v>
      </c>
      <c r="E46" s="5">
        <f t="shared" si="2"/>
        <v>244.98935966779626</v>
      </c>
      <c r="F46" s="3">
        <f t="shared" si="11"/>
        <v>1.4479942819080904</v>
      </c>
      <c r="G46" s="2">
        <f t="shared" si="3"/>
        <v>0.005740741505578854</v>
      </c>
      <c r="H46" s="2">
        <f t="shared" si="4"/>
        <v>0.0005856315899862644</v>
      </c>
      <c r="I46" s="1">
        <f t="shared" si="12"/>
        <v>3.286452995244781</v>
      </c>
      <c r="J46" s="5">
        <f t="shared" si="5"/>
        <v>17149.255176745737</v>
      </c>
      <c r="K46" s="1">
        <f t="shared" si="6"/>
        <v>0.3386099799116383</v>
      </c>
    </row>
    <row r="47" spans="1:11" ht="12.75">
      <c r="A47">
        <f t="shared" si="7"/>
        <v>1.3000000000000005</v>
      </c>
      <c r="B47" s="2">
        <f t="shared" si="8"/>
        <v>2.6068579734108006</v>
      </c>
      <c r="C47" s="3">
        <f t="shared" si="13"/>
        <v>5.831375208954011</v>
      </c>
      <c r="D47" s="2">
        <f t="shared" si="10"/>
        <v>3.033816749135991</v>
      </c>
      <c r="E47" s="5">
        <f t="shared" si="2"/>
        <v>245.01633803554117</v>
      </c>
      <c r="F47" s="3">
        <f t="shared" si="11"/>
        <v>1.4374698382348339</v>
      </c>
      <c r="G47" s="2">
        <f t="shared" si="3"/>
        <v>0.004202560927088467</v>
      </c>
      <c r="H47" s="2">
        <f t="shared" si="4"/>
        <v>0.0004287168191344654</v>
      </c>
      <c r="I47" s="1">
        <f t="shared" si="12"/>
        <v>3.2625660988216265</v>
      </c>
      <c r="J47" s="5">
        <f t="shared" si="5"/>
        <v>17151.14366248788</v>
      </c>
      <c r="K47" s="1">
        <f t="shared" si="6"/>
        <v>0.24788245032735964</v>
      </c>
    </row>
    <row r="48" spans="1:11" ht="12.75">
      <c r="A48">
        <f t="shared" si="7"/>
        <v>1.3500000000000005</v>
      </c>
      <c r="B48" s="2">
        <f t="shared" si="8"/>
        <v>2.607068101457155</v>
      </c>
      <c r="C48" s="3">
        <f t="shared" si="13"/>
        <v>5.831845252006879</v>
      </c>
      <c r="D48" s="2">
        <f t="shared" si="10"/>
        <v>3.1641701542088487</v>
      </c>
      <c r="E48" s="5">
        <f t="shared" si="2"/>
        <v>245.03608778982826</v>
      </c>
      <c r="F48" s="3">
        <f t="shared" si="11"/>
        <v>1.4297653255481313</v>
      </c>
      <c r="G48" s="2">
        <f t="shared" si="3"/>
        <v>0.0030765221406837354</v>
      </c>
      <c r="H48" s="2">
        <f t="shared" si="4"/>
        <v>0.00031384596417129406</v>
      </c>
      <c r="I48" s="1">
        <f t="shared" si="12"/>
        <v>3.2450794836377947</v>
      </c>
      <c r="J48" s="5">
        <f t="shared" si="5"/>
        <v>17152.52614528798</v>
      </c>
      <c r="K48" s="1">
        <f t="shared" si="6"/>
        <v>0.18146455457753427</v>
      </c>
    </row>
    <row r="49" spans="1:11" ht="12.75">
      <c r="A49">
        <f t="shared" si="7"/>
        <v>1.4000000000000006</v>
      </c>
      <c r="B49" s="2">
        <f t="shared" si="8"/>
        <v>2.6072219275641895</v>
      </c>
      <c r="C49" s="3">
        <f t="shared" si="13"/>
        <v>5.83218935120837</v>
      </c>
      <c r="D49" s="2">
        <f t="shared" si="10"/>
        <v>3.2945312505870583</v>
      </c>
      <c r="E49" s="5">
        <f t="shared" si="2"/>
        <v>245.05054577327968</v>
      </c>
      <c r="F49" s="3">
        <f t="shared" si="11"/>
        <v>1.4241251684451375</v>
      </c>
      <c r="G49" s="2">
        <f t="shared" si="3"/>
        <v>0.0022521954223503576</v>
      </c>
      <c r="H49" s="2">
        <f t="shared" si="4"/>
        <v>0.00022975373213879487</v>
      </c>
      <c r="I49" s="1">
        <f t="shared" si="12"/>
        <v>3.2322782513149995</v>
      </c>
      <c r="J49" s="5">
        <f t="shared" si="5"/>
        <v>17153.538204129578</v>
      </c>
      <c r="K49" s="1">
        <f t="shared" si="6"/>
        <v>0.13284274269761637</v>
      </c>
    </row>
    <row r="50" spans="1:11" ht="12.75">
      <c r="A50">
        <f t="shared" si="7"/>
        <v>1.4500000000000006</v>
      </c>
      <c r="B50" s="2">
        <f t="shared" si="8"/>
        <v>2.607334537335307</v>
      </c>
      <c r="C50" s="3">
        <f t="shared" si="13"/>
        <v>5.832441252092223</v>
      </c>
      <c r="D50" s="2">
        <f t="shared" si="10"/>
        <v>3.4248979774538237</v>
      </c>
      <c r="E50" s="5">
        <f t="shared" si="2"/>
        <v>245.06112986877997</v>
      </c>
      <c r="F50" s="3">
        <f t="shared" si="11"/>
        <v>1.419996241225401</v>
      </c>
      <c r="G50" s="2">
        <f t="shared" si="3"/>
        <v>0.0016487397094809763</v>
      </c>
      <c r="H50" s="2">
        <f t="shared" si="4"/>
        <v>0.00016819326503353445</v>
      </c>
      <c r="I50" s="1">
        <f t="shared" si="12"/>
        <v>3.2229069952278766</v>
      </c>
      <c r="J50" s="5">
        <f t="shared" si="5"/>
        <v>17154.279090814598</v>
      </c>
      <c r="K50" s="1">
        <f t="shared" si="6"/>
        <v>0.09724871244670004</v>
      </c>
    </row>
    <row r="51" spans="1:11" ht="12.75">
      <c r="A51">
        <f t="shared" si="7"/>
        <v>1.5000000000000007</v>
      </c>
      <c r="B51" s="2">
        <f t="shared" si="8"/>
        <v>2.607416974320781</v>
      </c>
      <c r="C51" s="3">
        <f t="shared" si="13"/>
        <v>5.832625658376838</v>
      </c>
      <c r="D51" s="18">
        <f t="shared" si="10"/>
        <v>3.5552688261698626</v>
      </c>
      <c r="E51" s="5">
        <f t="shared" si="2"/>
        <v>245.06887805011763</v>
      </c>
      <c r="F51" s="3">
        <f t="shared" si="11"/>
        <v>1.4169736232957484</v>
      </c>
      <c r="G51" s="2">
        <f t="shared" si="3"/>
        <v>0.0012069745825125156</v>
      </c>
      <c r="H51" s="2">
        <f t="shared" si="4"/>
        <v>0.00012312737703707832</v>
      </c>
      <c r="I51" s="1">
        <f t="shared" si="12"/>
        <v>3.2160466837801693</v>
      </c>
      <c r="J51" s="5">
        <f t="shared" si="5"/>
        <v>17154.821463508233</v>
      </c>
      <c r="K51" s="1">
        <f t="shared" si="6"/>
        <v>0.07119178571988521</v>
      </c>
    </row>
    <row r="52" spans="1:11" ht="12.75">
      <c r="A52">
        <f t="shared" si="7"/>
        <v>1.5500000000000007</v>
      </c>
      <c r="B52" s="2">
        <f t="shared" si="8"/>
        <v>2.6074773230499066</v>
      </c>
      <c r="C52" s="3">
        <f t="shared" si="13"/>
        <v>5.832760654639198</v>
      </c>
      <c r="D52" s="2">
        <f t="shared" si="10"/>
        <v>3.6856426923223577</v>
      </c>
      <c r="E52" s="5">
        <f t="shared" si="2"/>
        <v>245.07455017524535</v>
      </c>
      <c r="F52" s="3">
        <f t="shared" si="11"/>
        <v>1.414760888930955</v>
      </c>
      <c r="G52" s="2">
        <f t="shared" si="3"/>
        <v>0.0008835764884230156</v>
      </c>
      <c r="H52" s="2">
        <f t="shared" si="4"/>
        <v>9.013649252222773E-05</v>
      </c>
      <c r="I52" s="1">
        <f t="shared" si="12"/>
        <v>3.21102453170974</v>
      </c>
      <c r="J52" s="5">
        <f t="shared" si="5"/>
        <v>17155.218512267173</v>
      </c>
      <c r="K52" s="1">
        <f t="shared" si="6"/>
        <v>0.052116580533117976</v>
      </c>
    </row>
    <row r="53" spans="1:11" ht="12.75">
      <c r="A53">
        <f aca="true" t="shared" si="14" ref="A53:A60">A52+$I$14</f>
        <v>1.6000000000000008</v>
      </c>
      <c r="B53" s="2">
        <f aca="true" t="shared" si="15" ref="B53:B60">B52+G52*$I$14</f>
        <v>2.6075215018743276</v>
      </c>
      <c r="C53" s="3">
        <f t="shared" si="13"/>
        <v>5.832859479854886</v>
      </c>
      <c r="D53" s="2">
        <f aca="true" t="shared" si="16" ref="D53:D60">D52+B53*$I$14</f>
        <v>3.816018767416074</v>
      </c>
      <c r="E53" s="5">
        <f aca="true" t="shared" si="17" ref="E53:E60">B53*$A$7/$A$6/$A$14*60/2/PI()</f>
        <v>245.07870250494216</v>
      </c>
      <c r="F53" s="3">
        <f t="shared" si="11"/>
        <v>1.4131410370399997</v>
      </c>
      <c r="G53" s="2">
        <f aca="true" t="shared" si="18" ref="G53:G116">(1/($A$15*$A$14)*F53*$A$7/$A$6*$D$15*$D$16-$D$14/$A$15)/(1+1/($A$15*$A$14^2)*($G$14*$A$7/$A$6+$G$15))</f>
        <v>0.0006468300345434565</v>
      </c>
      <c r="H53" s="2">
        <f t="shared" si="4"/>
        <v>6.59852218067009E-05</v>
      </c>
      <c r="I53" s="1">
        <f t="shared" si="12"/>
        <v>3.2073480205760982</v>
      </c>
      <c r="J53" s="5">
        <f aca="true" t="shared" si="19" ref="J53:J60">E53*$A$5</f>
        <v>17155.50917534595</v>
      </c>
      <c r="K53" s="1">
        <f aca="true" t="shared" si="20" ref="K53:K60">G53*$A$15</f>
        <v>0.03815240675619298</v>
      </c>
    </row>
    <row r="54" spans="1:11" ht="12.75">
      <c r="A54">
        <f t="shared" si="14"/>
        <v>1.6500000000000008</v>
      </c>
      <c r="B54" s="2">
        <f t="shared" si="15"/>
        <v>2.607553843376055</v>
      </c>
      <c r="C54" s="3">
        <f t="shared" si="13"/>
        <v>5.832931825733839</v>
      </c>
      <c r="D54" s="2">
        <f t="shared" si="16"/>
        <v>3.946396459584877</v>
      </c>
      <c r="E54" s="5">
        <f t="shared" si="17"/>
        <v>245.0817422548636</v>
      </c>
      <c r="F54" s="3">
        <f t="shared" si="11"/>
        <v>1.4119552100421737</v>
      </c>
      <c r="G54" s="2">
        <f t="shared" si="18"/>
        <v>0.0004735176852987592</v>
      </c>
      <c r="H54" s="2">
        <f t="shared" si="4"/>
        <v>4.830506906793155E-05</v>
      </c>
      <c r="I54" s="1">
        <f t="shared" si="12"/>
        <v>3.2046565978698482</v>
      </c>
      <c r="J54" s="5">
        <f t="shared" si="19"/>
        <v>17155.72195784045</v>
      </c>
      <c r="K54" s="1">
        <f t="shared" si="20"/>
        <v>0.027929809023973996</v>
      </c>
    </row>
    <row r="55" spans="1:11" ht="12.75">
      <c r="A55">
        <f t="shared" si="14"/>
        <v>1.7000000000000008</v>
      </c>
      <c r="B55" s="2">
        <f t="shared" si="15"/>
        <v>2.60757751926032</v>
      </c>
      <c r="C55" s="3">
        <f t="shared" si="13"/>
        <v>5.832984787178598</v>
      </c>
      <c r="D55" s="2">
        <f t="shared" si="16"/>
        <v>4.076775335547893</v>
      </c>
      <c r="E55" s="5">
        <f t="shared" si="17"/>
        <v>245.08396753085543</v>
      </c>
      <c r="F55" s="3">
        <f t="shared" si="11"/>
        <v>1.4110871148314084</v>
      </c>
      <c r="G55" s="2">
        <f t="shared" si="18"/>
        <v>0.00034664283709441877</v>
      </c>
      <c r="H55" s="2">
        <f t="shared" si="4"/>
        <v>3.5362155855245144E-05</v>
      </c>
      <c r="I55" s="1">
        <f t="shared" si="12"/>
        <v>3.2026863179169345</v>
      </c>
      <c r="J55" s="5">
        <f t="shared" si="19"/>
        <v>17155.87772715988</v>
      </c>
      <c r="K55" s="1">
        <f t="shared" si="20"/>
        <v>0.020446265345859544</v>
      </c>
    </row>
    <row r="56" spans="1:11" ht="12.75">
      <c r="A56">
        <f t="shared" si="14"/>
        <v>1.7500000000000009</v>
      </c>
      <c r="B56" s="2">
        <f t="shared" si="15"/>
        <v>2.6075948514021747</v>
      </c>
      <c r="C56" s="3">
        <f t="shared" si="13"/>
        <v>5.833023558075732</v>
      </c>
      <c r="D56" s="2">
        <f t="shared" si="16"/>
        <v>4.207155078118002</v>
      </c>
      <c r="E56" s="5">
        <f t="shared" si="17"/>
        <v>245.0855965639562</v>
      </c>
      <c r="F56" s="3">
        <f t="shared" si="11"/>
        <v>1.4104516180040108</v>
      </c>
      <c r="G56" s="2">
        <f t="shared" si="18"/>
        <v>0.0002537629749427432</v>
      </c>
      <c r="H56" s="2">
        <f t="shared" si="4"/>
        <v>2.5887181011537005E-05</v>
      </c>
      <c r="I56" s="1">
        <f t="shared" si="12"/>
        <v>3.2012439569366715</v>
      </c>
      <c r="J56" s="5">
        <f t="shared" si="19"/>
        <v>17155.991759476932</v>
      </c>
      <c r="K56" s="1">
        <f t="shared" si="20"/>
        <v>0.01496787057284783</v>
      </c>
    </row>
    <row r="57" spans="1:11" ht="12.75">
      <c r="A57">
        <f t="shared" si="14"/>
        <v>1.800000000000001</v>
      </c>
      <c r="B57" s="2">
        <f t="shared" si="15"/>
        <v>2.607607539550922</v>
      </c>
      <c r="C57" s="3">
        <f t="shared" si="13"/>
        <v>5.833051940656143</v>
      </c>
      <c r="D57" s="2">
        <f t="shared" si="16"/>
        <v>4.337535455095548</v>
      </c>
      <c r="E57" s="5">
        <f t="shared" si="17"/>
        <v>245.0867891121403</v>
      </c>
      <c r="F57" s="3">
        <f t="shared" si="11"/>
        <v>1.4099863968938917</v>
      </c>
      <c r="G57" s="2">
        <f t="shared" si="18"/>
        <v>0.00018576944497522362</v>
      </c>
      <c r="H57" s="2">
        <f t="shared" si="4"/>
        <v>1.8950941324562606E-05</v>
      </c>
      <c r="I57" s="1">
        <f t="shared" si="12"/>
        <v>3.200188063740195</v>
      </c>
      <c r="J57" s="5">
        <f t="shared" si="19"/>
        <v>17156.075237849822</v>
      </c>
      <c r="K57" s="1">
        <f t="shared" si="20"/>
        <v>0.010957362906887055</v>
      </c>
    </row>
    <row r="58" spans="1:11" ht="12.75">
      <c r="A58">
        <f t="shared" si="14"/>
        <v>1.850000000000001</v>
      </c>
      <c r="B58" s="2">
        <f t="shared" si="15"/>
        <v>2.6076168280231706</v>
      </c>
      <c r="C58" s="3">
        <f t="shared" si="13"/>
        <v>5.833072718376814</v>
      </c>
      <c r="D58" s="2">
        <f t="shared" si="16"/>
        <v>4.467916296496706</v>
      </c>
      <c r="E58" s="5">
        <f t="shared" si="17"/>
        <v>245.08766212765536</v>
      </c>
      <c r="F58" s="3">
        <f t="shared" si="11"/>
        <v>1.4096458276384864</v>
      </c>
      <c r="G58" s="2">
        <f t="shared" si="18"/>
        <v>0.0001359941760337946</v>
      </c>
      <c r="H58" s="2">
        <f t="shared" si="4"/>
        <v>1.387320531017578E-05</v>
      </c>
      <c r="I58" s="1">
        <f t="shared" si="12"/>
        <v>3.1994150877253738</v>
      </c>
      <c r="J58" s="5">
        <f t="shared" si="19"/>
        <v>17156.136348935874</v>
      </c>
      <c r="K58" s="1">
        <f t="shared" si="20"/>
        <v>0.008021435065514199</v>
      </c>
    </row>
    <row r="59" spans="1:11" ht="12.75">
      <c r="A59">
        <f t="shared" si="14"/>
        <v>1.900000000000001</v>
      </c>
      <c r="B59" s="2">
        <f t="shared" si="15"/>
        <v>2.6076236277319724</v>
      </c>
      <c r="C59" s="3">
        <f t="shared" si="13"/>
        <v>5.833087928892208</v>
      </c>
      <c r="D59" s="2">
        <f t="shared" si="16"/>
        <v>4.598297477883305</v>
      </c>
      <c r="E59" s="5">
        <f t="shared" si="17"/>
        <v>245.0883012264353</v>
      </c>
      <c r="F59" s="3">
        <f t="shared" si="11"/>
        <v>1.4093965108831497</v>
      </c>
      <c r="G59" s="2">
        <f t="shared" si="18"/>
        <v>9.955574728094175E-05</v>
      </c>
      <c r="H59" s="2">
        <f t="shared" si="4"/>
        <v>1.015600345630434E-05</v>
      </c>
      <c r="I59" s="1">
        <f t="shared" si="12"/>
        <v>3.1988492237523047</v>
      </c>
      <c r="J59" s="5">
        <f t="shared" si="19"/>
        <v>17156.181085850472</v>
      </c>
      <c r="K59" s="1">
        <f t="shared" si="20"/>
        <v>0.005872162952142662</v>
      </c>
    </row>
    <row r="60" spans="1:11" ht="12.75">
      <c r="A60">
        <f t="shared" si="14"/>
        <v>1.950000000000001</v>
      </c>
      <c r="B60" s="2">
        <f t="shared" si="15"/>
        <v>2.6076286055193365</v>
      </c>
      <c r="C60" s="17">
        <f t="shared" si="13"/>
        <v>5.833099063885417</v>
      </c>
      <c r="D60" s="2">
        <f t="shared" si="16"/>
        <v>4.728678908159272</v>
      </c>
      <c r="E60" s="5">
        <f t="shared" si="17"/>
        <v>245.08876908438688</v>
      </c>
      <c r="F60" s="3">
        <f t="shared" si="11"/>
        <v>1.4092139963327965</v>
      </c>
      <c r="G60" s="2">
        <f t="shared" si="18"/>
        <v>7.288067110961815E-05</v>
      </c>
      <c r="H60" s="2">
        <f t="shared" si="4"/>
        <v>7.434792745800182E-06</v>
      </c>
      <c r="I60" s="1">
        <f t="shared" si="12"/>
        <v>3.198434977993065</v>
      </c>
      <c r="J60" s="5">
        <f t="shared" si="19"/>
        <v>17156.21383590708</v>
      </c>
      <c r="K60" s="1">
        <f t="shared" si="20"/>
        <v>0.00429876916708274</v>
      </c>
    </row>
    <row r="61" spans="1:11" ht="12.75">
      <c r="A61">
        <f aca="true" t="shared" si="21" ref="A61:A92">A60+$I$14</f>
        <v>2.000000000000001</v>
      </c>
      <c r="B61" s="2">
        <f aca="true" t="shared" si="22" ref="B61:B92">B60+G60*$I$14</f>
        <v>2.607632249552892</v>
      </c>
      <c r="C61" s="17">
        <f t="shared" si="13"/>
        <v>5.833107215356327</v>
      </c>
      <c r="D61" s="2">
        <f aca="true" t="shared" si="23" ref="D61:D92">D60+B61*$I$14</f>
        <v>4.859060520636916</v>
      </c>
      <c r="E61" s="5">
        <f aca="true" t="shared" si="24" ref="E61:E92">B61*$A$7/$A$6/$A$14*60/2/PI()</f>
        <v>245.0891115839655</v>
      </c>
      <c r="F61" s="3">
        <f t="shared" si="11"/>
        <v>1.4090803849313198</v>
      </c>
      <c r="G61" s="2">
        <f t="shared" si="18"/>
        <v>5.335294411548101E-05</v>
      </c>
      <c r="H61" s="2">
        <f t="shared" si="4"/>
        <v>5.442706218775638E-06</v>
      </c>
      <c r="I61" s="1">
        <f t="shared" si="12"/>
        <v>3.1981317256970665</v>
      </c>
      <c r="J61" s="5">
        <f aca="true" t="shared" si="25" ref="J61:J92">E61*$A$5</f>
        <v>17156.237810877585</v>
      </c>
      <c r="K61" s="1">
        <f aca="true" t="shared" si="26" ref="K61:K92">G61*$A$15</f>
        <v>0.003146952239116393</v>
      </c>
    </row>
    <row r="62" spans="1:11" ht="12.75">
      <c r="A62">
        <f t="shared" si="21"/>
        <v>2.0500000000000007</v>
      </c>
      <c r="B62" s="2">
        <f t="shared" si="22"/>
        <v>2.6076349172000977</v>
      </c>
      <c r="C62" s="17">
        <f t="shared" si="13"/>
        <v>5.833113182713175</v>
      </c>
      <c r="D62" s="2">
        <f t="shared" si="23"/>
        <v>4.989442266496921</v>
      </c>
      <c r="E62" s="5">
        <f t="shared" si="24"/>
        <v>245.08936231383117</v>
      </c>
      <c r="F62" s="3">
        <f t="shared" si="11"/>
        <v>1.4089825735154113</v>
      </c>
      <c r="G62" s="2">
        <f t="shared" si="18"/>
        <v>3.9057497726484406E-05</v>
      </c>
      <c r="H62" s="2">
        <f t="shared" si="4"/>
        <v>3.984381542387457E-06</v>
      </c>
      <c r="I62" s="1">
        <f t="shared" si="12"/>
        <v>3.197909727154117</v>
      </c>
      <c r="J62" s="5">
        <f t="shared" si="25"/>
        <v>17156.255361968182</v>
      </c>
      <c r="K62" s="1">
        <f t="shared" si="26"/>
        <v>0.002303754403104797</v>
      </c>
    </row>
    <row r="63" spans="1:11" ht="12.75">
      <c r="A63">
        <f t="shared" si="21"/>
        <v>2.1000000000000005</v>
      </c>
      <c r="B63" s="2">
        <f t="shared" si="22"/>
        <v>2.607636870074984</v>
      </c>
      <c r="C63" s="17">
        <f t="shared" si="13"/>
        <v>5.833117551169883</v>
      </c>
      <c r="D63" s="2">
        <f t="shared" si="23"/>
        <v>5.11982411000067</v>
      </c>
      <c r="E63" s="5">
        <f t="shared" si="24"/>
        <v>245.0895458628615</v>
      </c>
      <c r="F63" s="3">
        <f t="shared" si="11"/>
        <v>1.4089109697975963</v>
      </c>
      <c r="G63" s="2">
        <f t="shared" si="18"/>
        <v>2.8592388927365665E-05</v>
      </c>
      <c r="H63" s="2">
        <f t="shared" si="4"/>
        <v>2.916801979808079E-06</v>
      </c>
      <c r="I63" s="1">
        <f t="shared" si="12"/>
        <v>3.197747211144334</v>
      </c>
      <c r="J63" s="5">
        <f t="shared" si="25"/>
        <v>17156.268210400307</v>
      </c>
      <c r="K63" s="1">
        <f t="shared" si="26"/>
        <v>0.001686483920398156</v>
      </c>
    </row>
    <row r="64" spans="1:11" ht="12.75">
      <c r="A64">
        <f t="shared" si="21"/>
        <v>2.1500000000000004</v>
      </c>
      <c r="B64" s="2">
        <f t="shared" si="22"/>
        <v>2.6076382996944303</v>
      </c>
      <c r="C64" s="17">
        <f t="shared" si="13"/>
        <v>5.833120749137506</v>
      </c>
      <c r="D64" s="2">
        <f t="shared" si="23"/>
        <v>5.250206024985392</v>
      </c>
      <c r="E64" s="5">
        <f t="shared" si="24"/>
        <v>245.08968023156328</v>
      </c>
      <c r="F64" s="3">
        <f t="shared" si="11"/>
        <v>1.408858551658497</v>
      </c>
      <c r="G64" s="2">
        <f t="shared" si="18"/>
        <v>2.093131286231149E-05</v>
      </c>
      <c r="H64" s="2">
        <f t="shared" si="4"/>
        <v>2.1352708565858714E-06</v>
      </c>
      <c r="I64" s="1">
        <f t="shared" si="12"/>
        <v>3.197628239852527</v>
      </c>
      <c r="J64" s="5">
        <f t="shared" si="25"/>
        <v>17156.27761620943</v>
      </c>
      <c r="K64" s="1">
        <f t="shared" si="26"/>
        <v>0.0012346055681036721</v>
      </c>
    </row>
    <row r="65" spans="1:11" ht="12.75">
      <c r="A65">
        <f t="shared" si="21"/>
        <v>2.2</v>
      </c>
      <c r="B65" s="2">
        <f t="shared" si="22"/>
        <v>2.6076393462600733</v>
      </c>
      <c r="C65" s="17">
        <f t="shared" si="13"/>
        <v>5.833123090238175</v>
      </c>
      <c r="D65" s="2">
        <f t="shared" si="23"/>
        <v>5.380587992298396</v>
      </c>
      <c r="E65" s="5">
        <f t="shared" si="24"/>
        <v>245.08977859736763</v>
      </c>
      <c r="F65" s="3">
        <f t="shared" si="11"/>
        <v>1.4088201784931118</v>
      </c>
      <c r="G65" s="2">
        <f t="shared" si="18"/>
        <v>1.5322953925414165E-05</v>
      </c>
      <c r="H65" s="2">
        <f t="shared" si="4"/>
        <v>1.5631440401742554E-06</v>
      </c>
      <c r="I65" s="1">
        <f t="shared" si="12"/>
        <v>3.1975411458592062</v>
      </c>
      <c r="J65" s="5">
        <f t="shared" si="25"/>
        <v>17156.284501815735</v>
      </c>
      <c r="K65" s="1">
        <f t="shared" si="26"/>
        <v>0.0009038039974155359</v>
      </c>
    </row>
    <row r="66" spans="1:11" ht="12.75">
      <c r="A66">
        <f t="shared" si="21"/>
        <v>2.25</v>
      </c>
      <c r="B66" s="2">
        <f t="shared" si="22"/>
        <v>2.6076401124077697</v>
      </c>
      <c r="C66" s="17">
        <f t="shared" si="13"/>
        <v>5.833124804061762</v>
      </c>
      <c r="D66" s="2">
        <f t="shared" si="23"/>
        <v>5.510969997918784</v>
      </c>
      <c r="E66" s="5">
        <f t="shared" si="24"/>
        <v>245.08985060693044</v>
      </c>
      <c r="F66" s="3">
        <f t="shared" si="11"/>
        <v>1.4087920870757533</v>
      </c>
      <c r="G66" s="2">
        <f t="shared" si="18"/>
        <v>1.1217304834168907E-05</v>
      </c>
      <c r="H66" s="2">
        <f t="shared" si="4"/>
        <v>1.1443135105475465E-06</v>
      </c>
      <c r="I66" s="1">
        <f t="shared" si="12"/>
        <v>3.197477387925994</v>
      </c>
      <c r="J66" s="5">
        <f t="shared" si="25"/>
        <v>17156.28954248513</v>
      </c>
      <c r="K66" s="1">
        <f t="shared" si="26"/>
        <v>0.000661637762450979</v>
      </c>
    </row>
    <row r="67" spans="1:11" ht="12.75">
      <c r="A67">
        <f t="shared" si="21"/>
        <v>2.3</v>
      </c>
      <c r="B67" s="2">
        <f t="shared" si="22"/>
        <v>2.6076406732730115</v>
      </c>
      <c r="C67" s="17">
        <f t="shared" si="13"/>
        <v>5.833126058681576</v>
      </c>
      <c r="D67" s="2">
        <f t="shared" si="23"/>
        <v>5.641352031582435</v>
      </c>
      <c r="E67" s="5">
        <f t="shared" si="24"/>
        <v>245.08990332217198</v>
      </c>
      <c r="F67" s="3">
        <f t="shared" si="11"/>
        <v>1.4087715225036102</v>
      </c>
      <c r="G67" s="2">
        <f t="shared" si="18"/>
        <v>8.211727868972986E-06</v>
      </c>
      <c r="H67" s="2">
        <f t="shared" si="4"/>
        <v>8.377048929598615E-07</v>
      </c>
      <c r="I67" s="1">
        <f t="shared" si="12"/>
        <v>3.197430713363421</v>
      </c>
      <c r="J67" s="5">
        <f t="shared" si="25"/>
        <v>17156.293232552038</v>
      </c>
      <c r="K67" s="1">
        <f t="shared" si="26"/>
        <v>0.00048435781441310714</v>
      </c>
    </row>
    <row r="68" spans="1:11" ht="12.75">
      <c r="A68">
        <f t="shared" si="21"/>
        <v>2.3499999999999996</v>
      </c>
      <c r="B68" s="2">
        <f t="shared" si="22"/>
        <v>2.607641083859405</v>
      </c>
      <c r="C68" s="17">
        <f t="shared" si="13"/>
        <v>5.833126977137181</v>
      </c>
      <c r="D68" s="2">
        <f t="shared" si="23"/>
        <v>5.771734085775405</v>
      </c>
      <c r="E68" s="5">
        <f t="shared" si="24"/>
        <v>245.0899419128338</v>
      </c>
      <c r="F68" s="3">
        <f t="shared" si="11"/>
        <v>1.408756468025484</v>
      </c>
      <c r="G68" s="2">
        <f t="shared" si="18"/>
        <v>6.011468492621054E-06</v>
      </c>
      <c r="H68" s="2">
        <f t="shared" si="4"/>
        <v>6.132493246847591E-07</v>
      </c>
      <c r="I68" s="1">
        <f t="shared" si="12"/>
        <v>3.197396544834341</v>
      </c>
      <c r="J68" s="5">
        <f t="shared" si="25"/>
        <v>17156.295933898367</v>
      </c>
      <c r="K68" s="1">
        <f t="shared" si="26"/>
        <v>0.0003545784501092273</v>
      </c>
    </row>
    <row r="69" spans="1:11" ht="12.75">
      <c r="A69">
        <f t="shared" si="21"/>
        <v>2.3999999999999995</v>
      </c>
      <c r="B69" s="2">
        <f t="shared" si="22"/>
        <v>2.6076413844328297</v>
      </c>
      <c r="C69" s="17">
        <f t="shared" si="13"/>
        <v>5.833127649500783</v>
      </c>
      <c r="D69" s="2">
        <f t="shared" si="23"/>
        <v>5.902116154997047</v>
      </c>
      <c r="E69" s="5">
        <f t="shared" si="24"/>
        <v>245.08997016347138</v>
      </c>
      <c r="F69" s="3">
        <f t="shared" si="11"/>
        <v>1.4087454472607333</v>
      </c>
      <c r="G69" s="2">
        <f t="shared" si="18"/>
        <v>4.40074902605687E-06</v>
      </c>
      <c r="H69" s="2">
        <f t="shared" si="4"/>
        <v>4.4893462747898473E-07</v>
      </c>
      <c r="I69" s="1">
        <f t="shared" si="12"/>
        <v>3.197371531458406</v>
      </c>
      <c r="J69" s="5">
        <f t="shared" si="25"/>
        <v>17156.297911442998</v>
      </c>
      <c r="K69" s="1">
        <f t="shared" si="26"/>
        <v>0.00025957231097431624</v>
      </c>
    </row>
    <row r="70" spans="1:11" ht="12.75">
      <c r="A70">
        <f t="shared" si="21"/>
        <v>2.4499999999999993</v>
      </c>
      <c r="B70" s="2">
        <f t="shared" si="22"/>
        <v>2.607641604470281</v>
      </c>
      <c r="C70" s="17">
        <f t="shared" si="13"/>
        <v>5.833128141710543</v>
      </c>
      <c r="D70" s="2">
        <f t="shared" si="23"/>
        <v>6.032498235220561</v>
      </c>
      <c r="E70" s="5">
        <f t="shared" si="24"/>
        <v>245.08999084460214</v>
      </c>
      <c r="F70" s="3">
        <f t="shared" si="11"/>
        <v>1.4087373794118143</v>
      </c>
      <c r="G70" s="2">
        <f t="shared" si="18"/>
        <v>3.2216075053501687E-06</v>
      </c>
      <c r="H70" s="2">
        <f t="shared" si="4"/>
        <v>3.28646591008571E-07</v>
      </c>
      <c r="I70" s="1">
        <f t="shared" si="12"/>
        <v>3.197353220193938</v>
      </c>
      <c r="J70" s="5">
        <f t="shared" si="25"/>
        <v>17156.29935912215</v>
      </c>
      <c r="K70" s="1">
        <f t="shared" si="26"/>
        <v>0.00019002222127746</v>
      </c>
    </row>
    <row r="71" spans="1:11" ht="12.75">
      <c r="A71">
        <f t="shared" si="21"/>
        <v>2.499999999999999</v>
      </c>
      <c r="B71" s="2">
        <f t="shared" si="22"/>
        <v>2.6076417655506563</v>
      </c>
      <c r="C71" s="17">
        <f t="shared" si="13"/>
        <v>5.833128502037081</v>
      </c>
      <c r="D71" s="2">
        <f t="shared" si="23"/>
        <v>6.162880323498094</v>
      </c>
      <c r="E71" s="5">
        <f t="shared" si="24"/>
        <v>245.090005984408</v>
      </c>
      <c r="F71" s="3">
        <f t="shared" si="11"/>
        <v>1.4087314732711798</v>
      </c>
      <c r="G71" s="2">
        <f t="shared" si="18"/>
        <v>2.358406456443003E-06</v>
      </c>
      <c r="H71" s="2">
        <f t="shared" si="4"/>
        <v>2.405886629067653E-07</v>
      </c>
      <c r="I71" s="1">
        <f t="shared" si="12"/>
        <v>3.197339815269746</v>
      </c>
      <c r="J71" s="5">
        <f t="shared" si="25"/>
        <v>17156.300418908562</v>
      </c>
      <c r="K71" s="1">
        <f t="shared" si="26"/>
        <v>0.00013910745886460543</v>
      </c>
    </row>
    <row r="72" spans="1:11" ht="12.75">
      <c r="A72">
        <f t="shared" si="21"/>
        <v>2.549999999999999</v>
      </c>
      <c r="B72" s="2">
        <f t="shared" si="22"/>
        <v>2.607641883470979</v>
      </c>
      <c r="C72" s="17">
        <f t="shared" si="13"/>
        <v>5.83312876581733</v>
      </c>
      <c r="D72" s="2">
        <f t="shared" si="23"/>
        <v>6.2932624176716425</v>
      </c>
      <c r="E72" s="5">
        <f t="shared" si="24"/>
        <v>245.09001706763775</v>
      </c>
      <c r="F72" s="3">
        <f t="shared" si="11"/>
        <v>1.4087271496283282</v>
      </c>
      <c r="G72" s="2">
        <f t="shared" si="18"/>
        <v>1.7264924409249032E-06</v>
      </c>
      <c r="H72" s="2">
        <f t="shared" si="4"/>
        <v>1.7612507239622994E-07</v>
      </c>
      <c r="I72" s="1">
        <f t="shared" si="12"/>
        <v>3.1973300020756072</v>
      </c>
      <c r="J72" s="5">
        <f t="shared" si="25"/>
        <v>17156.301194734642</v>
      </c>
      <c r="K72" s="1">
        <f t="shared" si="26"/>
        <v>0.00010183485359357413</v>
      </c>
    </row>
    <row r="73" spans="1:11" ht="12.75">
      <c r="A73">
        <f t="shared" si="21"/>
        <v>2.5999999999999988</v>
      </c>
      <c r="B73" s="2">
        <f t="shared" si="22"/>
        <v>2.6076419697956013</v>
      </c>
      <c r="C73" s="17">
        <f t="shared" si="13"/>
        <v>5.83312895892001</v>
      </c>
      <c r="D73" s="2">
        <f t="shared" si="23"/>
        <v>6.423644516161422</v>
      </c>
      <c r="E73" s="5">
        <f t="shared" si="24"/>
        <v>245.09002518121466</v>
      </c>
      <c r="F73" s="3">
        <f t="shared" si="11"/>
        <v>1.408723984467079</v>
      </c>
      <c r="G73" s="2">
        <f t="shared" si="18"/>
        <v>1.263894158997819E-06</v>
      </c>
      <c r="H73" s="2">
        <f t="shared" si="4"/>
        <v>1.2893392694810272E-07</v>
      </c>
      <c r="I73" s="1">
        <f t="shared" si="12"/>
        <v>3.197322818239457</v>
      </c>
      <c r="J73" s="5">
        <f t="shared" si="25"/>
        <v>17156.301762685027</v>
      </c>
      <c r="K73" s="1">
        <f t="shared" si="26"/>
        <v>7.454911101166809E-05</v>
      </c>
    </row>
    <row r="74" spans="1:11" ht="12.75">
      <c r="A74">
        <f t="shared" si="21"/>
        <v>2.6499999999999986</v>
      </c>
      <c r="B74" s="2">
        <f t="shared" si="22"/>
        <v>2.6076420329903094</v>
      </c>
      <c r="C74" s="17">
        <f t="shared" si="13"/>
        <v>5.833129100282546</v>
      </c>
      <c r="D74" s="2">
        <f t="shared" si="23"/>
        <v>6.554026617810938</v>
      </c>
      <c r="E74" s="5">
        <f t="shared" si="24"/>
        <v>245.09003112083087</v>
      </c>
      <c r="F74" s="3">
        <f t="shared" si="11"/>
        <v>1.4087216673826328</v>
      </c>
      <c r="G74" s="2">
        <f t="shared" si="18"/>
        <v>9.252449720020999E-07</v>
      </c>
      <c r="H74" s="2">
        <f t="shared" si="4"/>
        <v>9.438722916783726E-08</v>
      </c>
      <c r="I74" s="1">
        <f t="shared" si="12"/>
        <v>3.197317559248303</v>
      </c>
      <c r="J74" s="5">
        <f t="shared" si="25"/>
        <v>17156.30217845816</v>
      </c>
      <c r="K74" s="1">
        <f t="shared" si="26"/>
        <v>5.4574340453844366E-05</v>
      </c>
    </row>
    <row r="75" spans="1:11" ht="12.75">
      <c r="A75">
        <f t="shared" si="21"/>
        <v>2.6999999999999984</v>
      </c>
      <c r="B75" s="2">
        <f t="shared" si="22"/>
        <v>2.607642079252558</v>
      </c>
      <c r="C75" s="17">
        <f t="shared" si="13"/>
        <v>5.83312920376825</v>
      </c>
      <c r="D75" s="2">
        <f t="shared" si="23"/>
        <v>6.684408721773566</v>
      </c>
      <c r="E75" s="5">
        <f t="shared" si="24"/>
        <v>245.09003546897986</v>
      </c>
      <c r="F75" s="3">
        <f t="shared" si="11"/>
        <v>1.4087199711403242</v>
      </c>
      <c r="G75" s="2">
        <f t="shared" si="18"/>
        <v>6.773338180763231E-07</v>
      </c>
      <c r="H75" s="2">
        <f t="shared" si="4"/>
        <v>6.909701132615395E-08</v>
      </c>
      <c r="I75" s="1">
        <f t="shared" si="12"/>
        <v>3.1973137093569846</v>
      </c>
      <c r="J75" s="5">
        <f t="shared" si="25"/>
        <v>17156.30248282859</v>
      </c>
      <c r="K75" s="1">
        <f t="shared" si="26"/>
        <v>3.9951631737714154E-05</v>
      </c>
    </row>
    <row r="76" spans="1:11" ht="12.75">
      <c r="A76">
        <f t="shared" si="21"/>
        <v>2.7499999999999982</v>
      </c>
      <c r="B76" s="2">
        <f t="shared" si="22"/>
        <v>2.607642113119249</v>
      </c>
      <c r="C76" s="17">
        <f t="shared" si="13"/>
        <v>5.83312927952588</v>
      </c>
      <c r="D76" s="2">
        <f t="shared" si="23"/>
        <v>6.814790827429528</v>
      </c>
      <c r="E76" s="5">
        <f t="shared" si="24"/>
        <v>245.09003865208098</v>
      </c>
      <c r="F76" s="3">
        <f t="shared" si="11"/>
        <v>1.4087187293910566</v>
      </c>
      <c r="G76" s="2">
        <f t="shared" si="18"/>
        <v>4.958482529822236E-07</v>
      </c>
      <c r="H76" s="2">
        <f t="shared" si="4"/>
        <v>5.058308242997798E-08</v>
      </c>
      <c r="I76" s="1">
        <f t="shared" si="12"/>
        <v>3.197310891009806</v>
      </c>
      <c r="J76" s="5">
        <f t="shared" si="25"/>
        <v>17156.302705645667</v>
      </c>
      <c r="K76" s="1">
        <f t="shared" si="26"/>
        <v>2.9246947771183788E-05</v>
      </c>
    </row>
    <row r="77" spans="1:11" ht="12.75">
      <c r="A77">
        <f t="shared" si="21"/>
        <v>2.799999999999998</v>
      </c>
      <c r="B77" s="2">
        <f t="shared" si="22"/>
        <v>2.6076421379116614</v>
      </c>
      <c r="C77" s="17">
        <f t="shared" si="13"/>
        <v>5.8331293349849265</v>
      </c>
      <c r="D77" s="2">
        <f t="shared" si="23"/>
        <v>6.945172934325111</v>
      </c>
      <c r="E77" s="5">
        <f t="shared" si="24"/>
        <v>245.09004098229852</v>
      </c>
      <c r="F77" s="3">
        <f t="shared" si="11"/>
        <v>1.4087178203574402</v>
      </c>
      <c r="G77" s="2">
        <f t="shared" si="18"/>
        <v>3.6299012795905155E-07</v>
      </c>
      <c r="H77" s="2">
        <f t="shared" si="4"/>
        <v>3.702979581634064E-08</v>
      </c>
      <c r="I77" s="1">
        <f t="shared" si="12"/>
        <v>3.1973088278136395</v>
      </c>
      <c r="J77" s="5">
        <f t="shared" si="25"/>
        <v>17156.302868760897</v>
      </c>
      <c r="K77" s="1">
        <f t="shared" si="26"/>
        <v>2.1410488491232622E-05</v>
      </c>
    </row>
    <row r="78" spans="1:11" ht="12.75">
      <c r="A78">
        <f t="shared" si="21"/>
        <v>2.849999999999998</v>
      </c>
      <c r="B78" s="2">
        <f t="shared" si="22"/>
        <v>2.607642156061168</v>
      </c>
      <c r="C78" s="17">
        <f t="shared" si="13"/>
        <v>5.833129375584217</v>
      </c>
      <c r="D78" s="2">
        <f t="shared" si="23"/>
        <v>7.075555042128169</v>
      </c>
      <c r="E78" s="5">
        <f t="shared" si="24"/>
        <v>245.09004268815497</v>
      </c>
      <c r="F78" s="3">
        <f t="shared" si="11"/>
        <v>1.408717154891278</v>
      </c>
      <c r="G78" s="2">
        <f t="shared" si="18"/>
        <v>2.6573015315820443E-07</v>
      </c>
      <c r="H78" s="2">
        <f t="shared" si="4"/>
        <v>2.7107991528638117E-08</v>
      </c>
      <c r="I78" s="1">
        <f t="shared" si="12"/>
        <v>3.197307317432494</v>
      </c>
      <c r="J78" s="5">
        <f t="shared" si="25"/>
        <v>17156.302988170846</v>
      </c>
      <c r="K78" s="1">
        <f t="shared" si="26"/>
        <v>1.5673738616409514E-05</v>
      </c>
    </row>
    <row r="79" spans="1:11" ht="12.75">
      <c r="A79">
        <f t="shared" si="21"/>
        <v>2.8999999999999977</v>
      </c>
      <c r="B79" s="2">
        <f t="shared" si="22"/>
        <v>2.6076421693476752</v>
      </c>
      <c r="C79" s="17">
        <f t="shared" si="13"/>
        <v>5.833129405305287</v>
      </c>
      <c r="D79" s="2">
        <f t="shared" si="23"/>
        <v>7.2059371505955525</v>
      </c>
      <c r="E79" s="5">
        <f t="shared" si="24"/>
        <v>245.09004393694238</v>
      </c>
      <c r="F79" s="3">
        <f t="shared" si="11"/>
        <v>1.408716667730882</v>
      </c>
      <c r="G79" s="2">
        <f t="shared" si="18"/>
        <v>1.94530127473233E-07</v>
      </c>
      <c r="H79" s="2">
        <f t="shared" si="4"/>
        <v>1.9844646852966598E-08</v>
      </c>
      <c r="I79" s="1">
        <f t="shared" si="12"/>
        <v>3.197306211744604</v>
      </c>
      <c r="J79" s="5">
        <f t="shared" si="25"/>
        <v>17156.303075585965</v>
      </c>
      <c r="K79" s="1">
        <f t="shared" si="26"/>
        <v>1.1474100077822273E-05</v>
      </c>
    </row>
    <row r="80" spans="1:11" ht="12.75">
      <c r="A80">
        <f t="shared" si="21"/>
        <v>2.9499999999999975</v>
      </c>
      <c r="B80" s="2">
        <f t="shared" si="22"/>
        <v>2.6076421790741815</v>
      </c>
      <c r="C80" s="17">
        <f t="shared" si="13"/>
        <v>5.833129427062862</v>
      </c>
      <c r="D80" s="2">
        <f t="shared" si="23"/>
        <v>7.336319259549262</v>
      </c>
      <c r="E80" s="5">
        <f t="shared" si="24"/>
        <v>245.09004485112837</v>
      </c>
      <c r="F80" s="3">
        <f t="shared" si="11"/>
        <v>1.4087163111007448</v>
      </c>
      <c r="G80" s="2">
        <f t="shared" si="18"/>
        <v>1.4240751010523462E-07</v>
      </c>
      <c r="H80" s="2">
        <f t="shared" si="4"/>
        <v>1.4527450241030193E-08</v>
      </c>
      <c r="I80" s="1">
        <f t="shared" si="12"/>
        <v>3.1973054023158665</v>
      </c>
      <c r="J80" s="5">
        <f t="shared" si="25"/>
        <v>17156.303139578988</v>
      </c>
      <c r="K80" s="1">
        <f t="shared" si="26"/>
        <v>8.399717020726178E-06</v>
      </c>
    </row>
    <row r="81" spans="1:11" ht="12.75">
      <c r="A81">
        <f t="shared" si="21"/>
        <v>2.9999999999999973</v>
      </c>
      <c r="B81" s="2">
        <f t="shared" si="22"/>
        <v>2.607642186194557</v>
      </c>
      <c r="C81" s="17">
        <f t="shared" si="13"/>
        <v>5.833129442990688</v>
      </c>
      <c r="D81" s="21">
        <f t="shared" si="23"/>
        <v>7.466701368858989</v>
      </c>
      <c r="E81" s="5">
        <f t="shared" si="24"/>
        <v>245.09004552036635</v>
      </c>
      <c r="F81" s="3">
        <f t="shared" si="11"/>
        <v>1.4087160500265044</v>
      </c>
      <c r="G81" s="2">
        <f t="shared" si="18"/>
        <v>1.0425068789437343E-07</v>
      </c>
      <c r="H81" s="2">
        <f t="shared" si="4"/>
        <v>1.0634949518178599E-08</v>
      </c>
      <c r="I81" s="1">
        <f t="shared" si="12"/>
        <v>3.1973048097664143</v>
      </c>
      <c r="J81" s="5">
        <f t="shared" si="25"/>
        <v>17156.303186425645</v>
      </c>
      <c r="K81" s="1">
        <f t="shared" si="26"/>
        <v>6.149087761464857E-06</v>
      </c>
    </row>
    <row r="82" spans="1:11" ht="12.75">
      <c r="A82">
        <f t="shared" si="21"/>
        <v>3.049999999999997</v>
      </c>
      <c r="B82" s="2">
        <f t="shared" si="22"/>
        <v>2.6076421914070913</v>
      </c>
      <c r="C82" s="17">
        <f t="shared" si="13"/>
        <v>5.833129454650796</v>
      </c>
      <c r="D82" s="2">
        <f t="shared" si="23"/>
        <v>7.597083478429344</v>
      </c>
      <c r="E82" s="5">
        <f t="shared" si="24"/>
        <v>245.09004601028792</v>
      </c>
      <c r="F82" s="3">
        <f t="shared" si="11"/>
        <v>1.4087158589047641</v>
      </c>
      <c r="G82" s="2">
        <f t="shared" si="18"/>
        <v>7.631764379892069E-08</v>
      </c>
      <c r="H82" s="2">
        <f t="shared" si="4"/>
        <v>7.785409435093642E-09</v>
      </c>
      <c r="I82" s="1">
        <f t="shared" si="12"/>
        <v>3.19730437598527</v>
      </c>
      <c r="J82" s="5">
        <f t="shared" si="25"/>
        <v>17156.303220720154</v>
      </c>
      <c r="K82" s="1">
        <f t="shared" si="26"/>
        <v>4.501494416451764E-06</v>
      </c>
    </row>
    <row r="83" spans="1:11" ht="12.75">
      <c r="A83">
        <f t="shared" si="21"/>
        <v>3.099999999999997</v>
      </c>
      <c r="B83" s="2">
        <f t="shared" si="22"/>
        <v>2.6076421952229736</v>
      </c>
      <c r="C83" s="17">
        <f t="shared" si="13"/>
        <v>5.8331294631866815</v>
      </c>
      <c r="D83" s="2">
        <f t="shared" si="23"/>
        <v>7.727465588190492</v>
      </c>
      <c r="E83" s="5">
        <f t="shared" si="24"/>
        <v>245.09004636893943</v>
      </c>
      <c r="F83" s="3">
        <f t="shared" si="11"/>
        <v>1.4087157189923782</v>
      </c>
      <c r="G83" s="2">
        <f t="shared" si="18"/>
        <v>5.586900810771945E-08</v>
      </c>
      <c r="H83" s="2">
        <f t="shared" si="4"/>
        <v>5.699378036318694E-09</v>
      </c>
      <c r="I83" s="1">
        <f t="shared" si="12"/>
        <v>3.1973040584318895</v>
      </c>
      <c r="J83" s="5">
        <f t="shared" si="25"/>
        <v>17156.30324582576</v>
      </c>
      <c r="K83" s="1">
        <f t="shared" si="26"/>
        <v>3.295358917424468E-06</v>
      </c>
    </row>
    <row r="84" spans="1:11" ht="12.75">
      <c r="A84">
        <f t="shared" si="21"/>
        <v>3.149999999999997</v>
      </c>
      <c r="B84" s="2">
        <f t="shared" si="22"/>
        <v>2.607642198016424</v>
      </c>
      <c r="C84" s="17">
        <f t="shared" si="13"/>
        <v>5.833129469435452</v>
      </c>
      <c r="D84" s="2">
        <f t="shared" si="23"/>
        <v>7.857847698091313</v>
      </c>
      <c r="E84" s="5">
        <f t="shared" si="24"/>
        <v>245.0900466314934</v>
      </c>
      <c r="F84" s="3">
        <f t="shared" si="11"/>
        <v>1.408715616568297</v>
      </c>
      <c r="G84" s="2">
        <f t="shared" si="18"/>
        <v>4.08994061445666E-08</v>
      </c>
      <c r="H84" s="2">
        <f t="shared" si="4"/>
        <v>4.172280571535921E-09</v>
      </c>
      <c r="I84" s="1">
        <f t="shared" si="12"/>
        <v>3.19730382596417</v>
      </c>
      <c r="J84" s="5">
        <f t="shared" si="25"/>
        <v>17156.30326420454</v>
      </c>
      <c r="K84" s="1">
        <f t="shared" si="26"/>
        <v>2.412396914153202E-06</v>
      </c>
    </row>
    <row r="85" spans="1:11" ht="12.75">
      <c r="A85">
        <f t="shared" si="21"/>
        <v>3.1999999999999966</v>
      </c>
      <c r="B85" s="2">
        <f t="shared" si="22"/>
        <v>2.6076422000613944</v>
      </c>
      <c r="C85" s="17">
        <f t="shared" si="13"/>
        <v>5.83312947400992</v>
      </c>
      <c r="D85" s="2">
        <f t="shared" si="23"/>
        <v>7.988229808094383</v>
      </c>
      <c r="E85" s="5">
        <f t="shared" si="24"/>
        <v>245.09004682369843</v>
      </c>
      <c r="F85" s="3">
        <f t="shared" si="11"/>
        <v>1.4087155415878132</v>
      </c>
      <c r="G85" s="2">
        <f t="shared" si="18"/>
        <v>2.9940772364551714E-08</v>
      </c>
      <c r="H85" s="2">
        <f aca="true" t="shared" si="27" ref="H85:H148">G85/9.80265</f>
        <v>3.054354931018828E-09</v>
      </c>
      <c r="I85" s="1">
        <f t="shared" si="12"/>
        <v>3.1973036557840535</v>
      </c>
      <c r="J85" s="5">
        <f t="shared" si="25"/>
        <v>17156.30327765889</v>
      </c>
      <c r="K85" s="1">
        <f t="shared" si="26"/>
        <v>1.7660165187802733E-06</v>
      </c>
    </row>
    <row r="86" spans="1:11" ht="12.75">
      <c r="A86">
        <f t="shared" si="21"/>
        <v>3.2499999999999964</v>
      </c>
      <c r="B86" s="2">
        <f t="shared" si="22"/>
        <v>2.607642201558433</v>
      </c>
      <c r="C86" s="17">
        <f t="shared" si="13"/>
        <v>5.833129477358701</v>
      </c>
      <c r="D86" s="2">
        <f t="shared" si="23"/>
        <v>8.118611918172304</v>
      </c>
      <c r="E86" s="5">
        <f t="shared" si="24"/>
        <v>245.09004696440377</v>
      </c>
      <c r="F86" s="3">
        <f aca="true" t="shared" si="28" ref="F86:F149">($N$6-($N$6-$N$11)/($M$11-$M$6)*B86*$A$7/$A$6/$A$14*$A$5-$A$11)*$A$10*$A$5</f>
        <v>1.408715486697709</v>
      </c>
      <c r="G86" s="2">
        <f t="shared" si="18"/>
        <v>2.1918410828847037E-08</v>
      </c>
      <c r="H86" s="2">
        <f t="shared" si="27"/>
        <v>2.2359679095802704E-09</v>
      </c>
      <c r="I86" s="1">
        <f aca="true" t="shared" si="29" ref="I86:I149">F86/$A$10/$A$5*(P$6-P$11)/(N$6-N$11)</f>
        <v>3.1973035312022438</v>
      </c>
      <c r="J86" s="5">
        <f t="shared" si="25"/>
        <v>17156.303287508264</v>
      </c>
      <c r="K86" s="1">
        <f t="shared" si="26"/>
        <v>1.2928282249319938E-06</v>
      </c>
    </row>
    <row r="87" spans="1:11" ht="12.75">
      <c r="A87">
        <f t="shared" si="21"/>
        <v>3.2999999999999963</v>
      </c>
      <c r="B87" s="2">
        <f t="shared" si="22"/>
        <v>2.6076422026543535</v>
      </c>
      <c r="C87" s="17">
        <f t="shared" si="13"/>
        <v>5.8331294798102045</v>
      </c>
      <c r="D87" s="2">
        <f t="shared" si="23"/>
        <v>8.248994028305022</v>
      </c>
      <c r="E87" s="5">
        <f t="shared" si="24"/>
        <v>245.09004706740845</v>
      </c>
      <c r="F87" s="3">
        <f t="shared" si="28"/>
        <v>1.4087154465148937</v>
      </c>
      <c r="G87" s="2">
        <f t="shared" si="18"/>
        <v>1.6045565871021225E-08</v>
      </c>
      <c r="H87" s="2">
        <f t="shared" si="27"/>
        <v>1.6368600195887057E-09</v>
      </c>
      <c r="I87" s="1">
        <f t="shared" si="29"/>
        <v>3.197303440000963</v>
      </c>
      <c r="J87" s="5">
        <f t="shared" si="25"/>
        <v>17156.303294718593</v>
      </c>
      <c r="K87" s="1">
        <f t="shared" si="26"/>
        <v>9.464262991074225E-07</v>
      </c>
    </row>
    <row r="88" spans="1:11" ht="12.75">
      <c r="A88">
        <f t="shared" si="21"/>
        <v>3.349999999999996</v>
      </c>
      <c r="B88" s="2">
        <f t="shared" si="22"/>
        <v>2.607642203456632</v>
      </c>
      <c r="C88" s="17">
        <f t="shared" si="13"/>
        <v>5.83312948160485</v>
      </c>
      <c r="D88" s="2">
        <f t="shared" si="23"/>
        <v>8.379376138477854</v>
      </c>
      <c r="E88" s="5">
        <f t="shared" si="24"/>
        <v>245.09004714281386</v>
      </c>
      <c r="F88" s="3">
        <f t="shared" si="28"/>
        <v>1.4087154170987342</v>
      </c>
      <c r="G88" s="2">
        <f t="shared" si="18"/>
        <v>1.1746301530074495E-08</v>
      </c>
      <c r="H88" s="2">
        <f t="shared" si="27"/>
        <v>1.1982781727466038E-09</v>
      </c>
      <c r="I88" s="1">
        <f t="shared" si="29"/>
        <v>3.197303373236317</v>
      </c>
      <c r="J88" s="5">
        <f t="shared" si="25"/>
        <v>17156.30329999697</v>
      </c>
      <c r="K88" s="1">
        <f t="shared" si="26"/>
        <v>6.928399269100201E-07</v>
      </c>
    </row>
    <row r="89" spans="1:11" ht="12.75">
      <c r="A89">
        <f t="shared" si="21"/>
        <v>3.399999999999996</v>
      </c>
      <c r="B89" s="2">
        <f t="shared" si="22"/>
        <v>2.607642204043947</v>
      </c>
      <c r="C89" s="17">
        <f t="shared" si="13"/>
        <v>5.833129482918636</v>
      </c>
      <c r="D89" s="2">
        <f t="shared" si="23"/>
        <v>8.50975824868005</v>
      </c>
      <c r="E89" s="5">
        <f t="shared" si="24"/>
        <v>245.0900471980151</v>
      </c>
      <c r="F89" s="3">
        <f t="shared" si="28"/>
        <v>1.4087153955643599</v>
      </c>
      <c r="G89" s="2">
        <f t="shared" si="18"/>
        <v>8.598984943831556E-09</v>
      </c>
      <c r="H89" s="2">
        <f t="shared" si="27"/>
        <v>8.772102384387442E-10</v>
      </c>
      <c r="I89" s="1">
        <f t="shared" si="29"/>
        <v>3.1973033243606346</v>
      </c>
      <c r="J89" s="5">
        <f t="shared" si="25"/>
        <v>17156.303303861056</v>
      </c>
      <c r="K89" s="1">
        <f t="shared" si="26"/>
        <v>5.071996563965981E-07</v>
      </c>
    </row>
    <row r="90" spans="1:11" ht="12.75">
      <c r="A90">
        <f t="shared" si="21"/>
        <v>3.4499999999999957</v>
      </c>
      <c r="B90" s="2">
        <f t="shared" si="22"/>
        <v>2.6076422044738963</v>
      </c>
      <c r="C90" s="17">
        <f t="shared" si="13"/>
        <v>5.8331294838804055</v>
      </c>
      <c r="D90" s="2">
        <f t="shared" si="23"/>
        <v>8.640140358903745</v>
      </c>
      <c r="E90" s="5">
        <f t="shared" si="24"/>
        <v>245.0900472384257</v>
      </c>
      <c r="F90" s="3">
        <f t="shared" si="28"/>
        <v>1.4087153797999363</v>
      </c>
      <c r="G90" s="2">
        <f t="shared" si="18"/>
        <v>6.294964789231627E-09</v>
      </c>
      <c r="H90" s="2">
        <f t="shared" si="27"/>
        <v>6.42169697911445E-10</v>
      </c>
      <c r="I90" s="1">
        <f t="shared" si="29"/>
        <v>3.1973032885807715</v>
      </c>
      <c r="J90" s="5">
        <f t="shared" si="25"/>
        <v>17156.3033066898</v>
      </c>
      <c r="K90" s="1">
        <f t="shared" si="26"/>
        <v>3.713001009982357E-07</v>
      </c>
    </row>
    <row r="91" spans="1:11" ht="12.75">
      <c r="A91">
        <f t="shared" si="21"/>
        <v>3.4999999999999956</v>
      </c>
      <c r="B91" s="2">
        <f t="shared" si="22"/>
        <v>2.6076422047886445</v>
      </c>
      <c r="C91" s="17">
        <f t="shared" si="13"/>
        <v>5.833129484584477</v>
      </c>
      <c r="D91" s="2">
        <f t="shared" si="23"/>
        <v>8.770522469143177</v>
      </c>
      <c r="E91" s="5">
        <f t="shared" si="24"/>
        <v>245.0900472680086</v>
      </c>
      <c r="F91" s="3">
        <f t="shared" si="28"/>
        <v>1.4087153682594336</v>
      </c>
      <c r="G91" s="2">
        <f t="shared" si="18"/>
        <v>4.608283958908087E-09</v>
      </c>
      <c r="H91" s="2">
        <f t="shared" si="27"/>
        <v>4.701059365485953E-10</v>
      </c>
      <c r="I91" s="1">
        <f t="shared" si="29"/>
        <v>3.197303262387768</v>
      </c>
      <c r="J91" s="5">
        <f t="shared" si="25"/>
        <v>17156.3033087606</v>
      </c>
      <c r="K91" s="1">
        <f t="shared" si="26"/>
        <v>2.71813482149751E-07</v>
      </c>
    </row>
    <row r="92" spans="1:11" ht="12.75">
      <c r="A92">
        <f t="shared" si="21"/>
        <v>3.5499999999999954</v>
      </c>
      <c r="B92" s="2">
        <f t="shared" si="22"/>
        <v>2.607642205019059</v>
      </c>
      <c r="C92" s="17">
        <f t="shared" si="13"/>
        <v>5.833129485099899</v>
      </c>
      <c r="D92" s="2">
        <f t="shared" si="23"/>
        <v>8.90090457939413</v>
      </c>
      <c r="E92" s="5">
        <f t="shared" si="24"/>
        <v>245.09004728966505</v>
      </c>
      <c r="F92" s="3">
        <f t="shared" si="28"/>
        <v>1.4087153598111015</v>
      </c>
      <c r="G92" s="2">
        <f t="shared" si="18"/>
        <v>3.3735336600063273E-09</v>
      </c>
      <c r="H92" s="2">
        <f t="shared" si="27"/>
        <v>3.441450689360864E-10</v>
      </c>
      <c r="I92" s="1">
        <f t="shared" si="29"/>
        <v>3.1973032432129367</v>
      </c>
      <c r="J92" s="5">
        <f t="shared" si="25"/>
        <v>17156.303310276555</v>
      </c>
      <c r="K92" s="1">
        <f t="shared" si="26"/>
        <v>1.9898338284973799E-07</v>
      </c>
    </row>
    <row r="93" spans="1:11" ht="12.75">
      <c r="A93">
        <f aca="true" t="shared" si="30" ref="A93:A106">A92+$I$14</f>
        <v>3.599999999999995</v>
      </c>
      <c r="B93" s="2">
        <f aca="true" t="shared" si="31" ref="B93:B106">B92+G92*$I$14</f>
        <v>2.6076422051877355</v>
      </c>
      <c r="C93" s="17">
        <f t="shared" si="13"/>
        <v>5.833129485477218</v>
      </c>
      <c r="D93" s="2">
        <f aca="true" t="shared" si="32" ref="D93:D106">D92+B93*$I$14</f>
        <v>9.031286689653516</v>
      </c>
      <c r="E93" s="5">
        <f aca="true" t="shared" si="33" ref="E93:E106">B93*$A$7/$A$6/$A$14*60/2/PI()</f>
        <v>245.0900473055188</v>
      </c>
      <c r="F93" s="3">
        <f t="shared" si="28"/>
        <v>1.4087153536264387</v>
      </c>
      <c r="G93" s="2">
        <f t="shared" si="18"/>
        <v>2.469625710759287E-09</v>
      </c>
      <c r="H93" s="2">
        <f t="shared" si="27"/>
        <v>2.5193449840188997E-10</v>
      </c>
      <c r="I93" s="1">
        <f t="shared" si="29"/>
        <v>3.197303229175862</v>
      </c>
      <c r="J93" s="5">
        <f aca="true" t="shared" si="34" ref="J93:J106">E93*$A$5</f>
        <v>17156.303311386317</v>
      </c>
      <c r="K93" s="1">
        <f aca="true" t="shared" si="35" ref="K93:K106">G93*$A$15</f>
        <v>1.4566757822082907E-07</v>
      </c>
    </row>
    <row r="94" spans="1:11" ht="12.75">
      <c r="A94">
        <f t="shared" si="30"/>
        <v>3.649999999999995</v>
      </c>
      <c r="B94" s="2">
        <f t="shared" si="31"/>
        <v>2.6076422053112167</v>
      </c>
      <c r="C94" s="17">
        <f t="shared" si="13"/>
        <v>5.833129485753439</v>
      </c>
      <c r="D94" s="2">
        <f t="shared" si="32"/>
        <v>9.161668799919077</v>
      </c>
      <c r="E94" s="5">
        <f t="shared" si="33"/>
        <v>245.09004731712471</v>
      </c>
      <c r="F94" s="3">
        <f t="shared" si="28"/>
        <v>1.4087153490989046</v>
      </c>
      <c r="G94" s="2">
        <f t="shared" si="18"/>
        <v>1.8079123403040578E-09</v>
      </c>
      <c r="H94" s="2">
        <f t="shared" si="27"/>
        <v>1.8443097940904325E-10</v>
      </c>
      <c r="I94" s="1">
        <f t="shared" si="29"/>
        <v>3.1973032188999038</v>
      </c>
      <c r="J94" s="5">
        <f t="shared" si="34"/>
        <v>17156.30331219873</v>
      </c>
      <c r="K94" s="1">
        <f t="shared" si="35"/>
        <v>1.0663729774933189E-07</v>
      </c>
    </row>
    <row r="95" spans="1:11" ht="12.75">
      <c r="A95">
        <f t="shared" si="30"/>
        <v>3.699999999999995</v>
      </c>
      <c r="B95" s="2">
        <f t="shared" si="31"/>
        <v>2.6076422054016124</v>
      </c>
      <c r="C95" s="17">
        <f t="shared" si="13"/>
        <v>5.833129485955648</v>
      </c>
      <c r="D95" s="2">
        <f t="shared" si="32"/>
        <v>9.292050910189158</v>
      </c>
      <c r="E95" s="5">
        <f t="shared" si="33"/>
        <v>245.09004732562093</v>
      </c>
      <c r="F95" s="3">
        <f t="shared" si="28"/>
        <v>1.4087153457844517</v>
      </c>
      <c r="G95" s="2">
        <f t="shared" si="18"/>
        <v>1.323494621636624E-09</v>
      </c>
      <c r="H95" s="2">
        <f t="shared" si="27"/>
        <v>1.3501396271790016E-10</v>
      </c>
      <c r="I95" s="1">
        <f t="shared" si="29"/>
        <v>3.197303211377227</v>
      </c>
      <c r="J95" s="5">
        <f t="shared" si="34"/>
        <v>17156.303312793465</v>
      </c>
      <c r="K95" s="1">
        <f t="shared" si="35"/>
        <v>7.806456479707854E-08</v>
      </c>
    </row>
    <row r="96" spans="1:11" ht="12.75">
      <c r="A96">
        <f t="shared" si="30"/>
        <v>3.7499999999999947</v>
      </c>
      <c r="B96" s="2">
        <f t="shared" si="31"/>
        <v>2.607642205467787</v>
      </c>
      <c r="C96" s="17">
        <f t="shared" si="13"/>
        <v>5.833129486103676</v>
      </c>
      <c r="D96" s="2">
        <f t="shared" si="32"/>
        <v>9.422433020462547</v>
      </c>
      <c r="E96" s="5">
        <f t="shared" si="33"/>
        <v>245.09004733184068</v>
      </c>
      <c r="F96" s="3">
        <f t="shared" si="28"/>
        <v>1.4087153433581205</v>
      </c>
      <c r="G96" s="2">
        <f t="shared" si="18"/>
        <v>9.688786641775137E-10</v>
      </c>
      <c r="H96" s="2">
        <f t="shared" si="27"/>
        <v>9.883844309217545E-11</v>
      </c>
      <c r="I96" s="1">
        <f t="shared" si="29"/>
        <v>3.197303205870283</v>
      </c>
      <c r="J96" s="5">
        <f t="shared" si="34"/>
        <v>17156.303313228847</v>
      </c>
      <c r="K96" s="1">
        <f t="shared" si="35"/>
        <v>5.714801558215824E-08</v>
      </c>
    </row>
    <row r="97" spans="1:11" ht="12.75">
      <c r="A97">
        <f t="shared" si="30"/>
        <v>3.7999999999999945</v>
      </c>
      <c r="B97" s="2">
        <f t="shared" si="31"/>
        <v>2.607642205516231</v>
      </c>
      <c r="C97" s="17">
        <f t="shared" si="13"/>
        <v>5.833129486212043</v>
      </c>
      <c r="D97" s="2">
        <f t="shared" si="32"/>
        <v>9.552815130738358</v>
      </c>
      <c r="E97" s="5">
        <f t="shared" si="33"/>
        <v>245.09004733639384</v>
      </c>
      <c r="F97" s="3">
        <f t="shared" si="28"/>
        <v>1.4087153415819054</v>
      </c>
      <c r="G97" s="2">
        <f t="shared" si="18"/>
        <v>7.092792140541264E-10</v>
      </c>
      <c r="H97" s="2">
        <f t="shared" si="27"/>
        <v>7.235586438913217E-11</v>
      </c>
      <c r="I97" s="1">
        <f t="shared" si="29"/>
        <v>3.1973032018388805</v>
      </c>
      <c r="J97" s="5">
        <f t="shared" si="34"/>
        <v>17156.303313547567</v>
      </c>
      <c r="K97" s="1">
        <f t="shared" si="35"/>
        <v>4.1835888306277865E-08</v>
      </c>
    </row>
    <row r="98" spans="1:11" ht="12.75">
      <c r="A98">
        <f t="shared" si="30"/>
        <v>3.8499999999999943</v>
      </c>
      <c r="B98" s="2">
        <f t="shared" si="31"/>
        <v>2.607642205551695</v>
      </c>
      <c r="C98" s="17">
        <f t="shared" si="13"/>
        <v>5.833129486291372</v>
      </c>
      <c r="D98" s="2">
        <f t="shared" si="32"/>
        <v>9.683197241015943</v>
      </c>
      <c r="E98" s="5">
        <f t="shared" si="33"/>
        <v>245.09004733972702</v>
      </c>
      <c r="F98" s="3">
        <f t="shared" si="28"/>
        <v>1.4087153402815615</v>
      </c>
      <c r="G98" s="2">
        <f t="shared" si="18"/>
        <v>5.192299377251353E-10</v>
      </c>
      <c r="H98" s="2">
        <f t="shared" si="27"/>
        <v>5.296832363953985E-11</v>
      </c>
      <c r="I98" s="1">
        <f t="shared" si="29"/>
        <v>3.1973031988875436</v>
      </c>
      <c r="J98" s="5">
        <f t="shared" si="34"/>
        <v>17156.303313780892</v>
      </c>
      <c r="K98" s="1">
        <f t="shared" si="35"/>
        <v>3.062608525601977E-08</v>
      </c>
    </row>
    <row r="99" spans="1:11" ht="12.75">
      <c r="A99">
        <f t="shared" si="30"/>
        <v>3.899999999999994</v>
      </c>
      <c r="B99" s="2">
        <f t="shared" si="31"/>
        <v>2.6076422055776565</v>
      </c>
      <c r="C99" s="17">
        <f t="shared" si="13"/>
        <v>5.8331294863494465</v>
      </c>
      <c r="D99" s="2">
        <f t="shared" si="32"/>
        <v>9.813579351294825</v>
      </c>
      <c r="E99" s="5">
        <f t="shared" si="33"/>
        <v>245.09004734216717</v>
      </c>
      <c r="F99" s="3">
        <f t="shared" si="28"/>
        <v>1.4087153393296512</v>
      </c>
      <c r="G99" s="2">
        <f t="shared" si="18"/>
        <v>3.8010518389227746E-10</v>
      </c>
      <c r="H99" s="2">
        <f t="shared" si="27"/>
        <v>3.877575797282138E-11</v>
      </c>
      <c r="I99" s="1">
        <f t="shared" si="29"/>
        <v>3.1973031967270313</v>
      </c>
      <c r="J99" s="5">
        <f t="shared" si="34"/>
        <v>17156.303313951703</v>
      </c>
      <c r="K99" s="1">
        <f t="shared" si="35"/>
        <v>2.241999723502544E-08</v>
      </c>
    </row>
    <row r="100" spans="1:11" ht="12.75">
      <c r="A100">
        <f t="shared" si="30"/>
        <v>3.949999999999994</v>
      </c>
      <c r="B100" s="2">
        <f t="shared" si="31"/>
        <v>2.6076422055966617</v>
      </c>
      <c r="C100" s="17">
        <f t="shared" si="13"/>
        <v>5.833129486391961</v>
      </c>
      <c r="D100" s="2">
        <f t="shared" si="32"/>
        <v>9.943961461574657</v>
      </c>
      <c r="E100" s="5">
        <f t="shared" si="33"/>
        <v>245.09004734395344</v>
      </c>
      <c r="F100" s="3">
        <f t="shared" si="28"/>
        <v>1.4087153386328404</v>
      </c>
      <c r="G100" s="2">
        <f t="shared" si="18"/>
        <v>2.7826409087806576E-10</v>
      </c>
      <c r="H100" s="2">
        <f t="shared" si="27"/>
        <v>2.838661901404883E-11</v>
      </c>
      <c r="I100" s="1">
        <f t="shared" si="29"/>
        <v>3.1973031951455093</v>
      </c>
      <c r="J100" s="5">
        <f t="shared" si="34"/>
        <v>17156.30331407674</v>
      </c>
      <c r="K100" s="1">
        <f t="shared" si="35"/>
        <v>1.6413036213316037E-08</v>
      </c>
    </row>
    <row r="101" spans="1:11" ht="12.75">
      <c r="A101">
        <f t="shared" si="30"/>
        <v>3.999999999999994</v>
      </c>
      <c r="B101" s="2">
        <f t="shared" si="31"/>
        <v>2.607642205610575</v>
      </c>
      <c r="C101" s="17">
        <f t="shared" si="13"/>
        <v>5.833129486423084</v>
      </c>
      <c r="D101" s="2">
        <f t="shared" si="32"/>
        <v>10.074343571855186</v>
      </c>
      <c r="E101" s="5">
        <f t="shared" si="33"/>
        <v>245.09004734526115</v>
      </c>
      <c r="F101" s="3">
        <f t="shared" si="28"/>
        <v>1.4087153381226825</v>
      </c>
      <c r="G101" s="2">
        <f t="shared" si="18"/>
        <v>2.0370293271165374E-10</v>
      </c>
      <c r="H101" s="2">
        <f t="shared" si="27"/>
        <v>2.078039435373636E-11</v>
      </c>
      <c r="I101" s="1">
        <f t="shared" si="29"/>
        <v>3.197303193987625</v>
      </c>
      <c r="J101" s="5">
        <f t="shared" si="34"/>
        <v>17156.303314168283</v>
      </c>
      <c r="K101" s="1">
        <f t="shared" si="35"/>
        <v>1.2015145758854348E-08</v>
      </c>
    </row>
    <row r="102" spans="1:11" ht="12.75">
      <c r="A102">
        <f t="shared" si="30"/>
        <v>4.049999999999994</v>
      </c>
      <c r="B102" s="2">
        <f t="shared" si="31"/>
        <v>2.60764220562076</v>
      </c>
      <c r="C102" s="17">
        <f aca="true" t="shared" si="36" ref="C102:C165">B102*3600/(0.0254*12*5280)</f>
        <v>5.833129486445867</v>
      </c>
      <c r="D102" s="2">
        <f t="shared" si="32"/>
        <v>10.204725682136225</v>
      </c>
      <c r="E102" s="5">
        <f t="shared" si="33"/>
        <v>245.09004734621843</v>
      </c>
      <c r="F102" s="3">
        <f t="shared" si="28"/>
        <v>1.4087153377492512</v>
      </c>
      <c r="G102" s="2">
        <f t="shared" si="18"/>
        <v>1.4912476521187908E-10</v>
      </c>
      <c r="H102" s="2">
        <f t="shared" si="27"/>
        <v>1.5212699138689954E-11</v>
      </c>
      <c r="I102" s="1">
        <f t="shared" si="29"/>
        <v>3.1973031931400633</v>
      </c>
      <c r="J102" s="5">
        <f t="shared" si="34"/>
        <v>17156.30331423529</v>
      </c>
      <c r="K102" s="1">
        <f t="shared" si="35"/>
        <v>8.795925352787786E-09</v>
      </c>
    </row>
    <row r="103" spans="1:11" ht="12.75">
      <c r="A103">
        <f t="shared" si="30"/>
        <v>4.099999999999993</v>
      </c>
      <c r="B103" s="2">
        <f t="shared" si="31"/>
        <v>2.6076422056282165</v>
      </c>
      <c r="C103" s="17">
        <f t="shared" si="36"/>
        <v>5.833129486462547</v>
      </c>
      <c r="D103" s="2">
        <f t="shared" si="32"/>
        <v>10.335107792417636</v>
      </c>
      <c r="E103" s="5">
        <f t="shared" si="33"/>
        <v>245.09004734691922</v>
      </c>
      <c r="F103" s="3">
        <f t="shared" si="28"/>
        <v>1.4087153374758399</v>
      </c>
      <c r="G103" s="2">
        <f t="shared" si="18"/>
        <v>1.0916483728750449E-10</v>
      </c>
      <c r="H103" s="2">
        <f t="shared" si="27"/>
        <v>1.1136257775959E-11</v>
      </c>
      <c r="I103" s="1">
        <f t="shared" si="29"/>
        <v>3.1973031925195126</v>
      </c>
      <c r="J103" s="5">
        <f t="shared" si="34"/>
        <v>17156.303314284345</v>
      </c>
      <c r="K103" s="1">
        <f t="shared" si="35"/>
        <v>6.438942308246635E-09</v>
      </c>
    </row>
    <row r="104" spans="1:11" ht="12.75">
      <c r="A104">
        <f t="shared" si="30"/>
        <v>4.149999999999993</v>
      </c>
      <c r="B104" s="2">
        <f t="shared" si="31"/>
        <v>2.6076422056336748</v>
      </c>
      <c r="C104" s="17">
        <f t="shared" si="36"/>
        <v>5.833129486474756</v>
      </c>
      <c r="D104" s="2">
        <f t="shared" si="32"/>
        <v>10.46548990269932</v>
      </c>
      <c r="E104" s="5">
        <f t="shared" si="33"/>
        <v>245.09004734743226</v>
      </c>
      <c r="F104" s="3">
        <f t="shared" si="28"/>
        <v>1.408715337275716</v>
      </c>
      <c r="G104" s="2">
        <f t="shared" si="18"/>
        <v>7.991608622593412E-11</v>
      </c>
      <c r="H104" s="2">
        <f t="shared" si="27"/>
        <v>8.152498174058456E-12</v>
      </c>
      <c r="I104" s="1">
        <f t="shared" si="29"/>
        <v>3.1973031920653</v>
      </c>
      <c r="J104" s="5">
        <f t="shared" si="34"/>
        <v>17156.30331432026</v>
      </c>
      <c r="K104" s="1">
        <f t="shared" si="35"/>
        <v>4.7137437429089994E-09</v>
      </c>
    </row>
    <row r="105" spans="1:11" ht="12.75">
      <c r="A105">
        <f t="shared" si="30"/>
        <v>4.199999999999993</v>
      </c>
      <c r="B105" s="2">
        <f t="shared" si="31"/>
        <v>2.6076422056376707</v>
      </c>
      <c r="C105" s="17">
        <f t="shared" si="36"/>
        <v>5.833129486483696</v>
      </c>
      <c r="D105" s="2">
        <f t="shared" si="32"/>
        <v>10.595872012981204</v>
      </c>
      <c r="E105" s="5">
        <f t="shared" si="33"/>
        <v>245.09004734780777</v>
      </c>
      <c r="F105" s="3">
        <f t="shared" si="28"/>
        <v>1.4087153371291972</v>
      </c>
      <c r="G105" s="2">
        <f t="shared" si="18"/>
        <v>5.850190460234082E-11</v>
      </c>
      <c r="H105" s="2">
        <f t="shared" si="27"/>
        <v>5.96796831492921E-12</v>
      </c>
      <c r="I105" s="1">
        <f t="shared" si="29"/>
        <v>3.197303191732752</v>
      </c>
      <c r="J105" s="5">
        <f t="shared" si="34"/>
        <v>17156.303314346544</v>
      </c>
      <c r="K105" s="1">
        <f t="shared" si="35"/>
        <v>3.450656805038251E-09</v>
      </c>
    </row>
    <row r="106" spans="1:11" ht="12.75">
      <c r="A106">
        <f t="shared" si="30"/>
        <v>4.249999999999993</v>
      </c>
      <c r="B106" s="2">
        <f t="shared" si="31"/>
        <v>2.607642205640596</v>
      </c>
      <c r="C106" s="17">
        <f t="shared" si="36"/>
        <v>5.833129486490239</v>
      </c>
      <c r="D106" s="2">
        <f t="shared" si="32"/>
        <v>10.726254123263233</v>
      </c>
      <c r="E106" s="5">
        <f t="shared" si="33"/>
        <v>245.09004734808278</v>
      </c>
      <c r="F106" s="3">
        <f t="shared" si="28"/>
        <v>1.4087153370219452</v>
      </c>
      <c r="G106" s="2">
        <f t="shared" si="18"/>
        <v>4.282671231748658E-11</v>
      </c>
      <c r="H106" s="2">
        <f t="shared" si="27"/>
        <v>4.368891301585447E-12</v>
      </c>
      <c r="I106" s="1">
        <f t="shared" si="29"/>
        <v>3.1973031914893264</v>
      </c>
      <c r="J106" s="5">
        <f t="shared" si="34"/>
        <v>17156.303314365796</v>
      </c>
      <c r="K106" s="1">
        <f t="shared" si="35"/>
        <v>2.526076497855379E-09</v>
      </c>
    </row>
    <row r="107" spans="1:11" ht="12.75">
      <c r="A107">
        <f aca="true" t="shared" si="37" ref="A107:A125">A106+$I$14</f>
        <v>4.299999999999993</v>
      </c>
      <c r="B107" s="2">
        <f aca="true" t="shared" si="38" ref="B107:B125">B106+G106*$I$14</f>
        <v>2.6076422056427373</v>
      </c>
      <c r="C107" s="17">
        <f t="shared" si="36"/>
        <v>5.833129486495029</v>
      </c>
      <c r="D107" s="2">
        <f aca="true" t="shared" si="39" ref="D107:D125">D106+B107*$I$14</f>
        <v>10.85663623354537</v>
      </c>
      <c r="E107" s="5">
        <f aca="true" t="shared" si="40" ref="E107:E125">B107*$A$7/$A$6/$A$14*60/2/PI()</f>
        <v>245.09004734828406</v>
      </c>
      <c r="F107" s="3">
        <f t="shared" si="28"/>
        <v>1.40871533694344</v>
      </c>
      <c r="G107" s="2">
        <f t="shared" si="18"/>
        <v>3.1352888479753524E-11</v>
      </c>
      <c r="H107" s="2">
        <f t="shared" si="27"/>
        <v>3.198409458641645E-12</v>
      </c>
      <c r="I107" s="1">
        <f t="shared" si="29"/>
        <v>3.197303191311146</v>
      </c>
      <c r="J107" s="5">
        <f aca="true" t="shared" si="41" ref="J107:J125">E107*$A$5</f>
        <v>17156.303314379886</v>
      </c>
      <c r="K107" s="1">
        <f aca="true" t="shared" si="42" ref="K107:K125">G107*$A$15</f>
        <v>1.8493083041596905E-09</v>
      </c>
    </row>
    <row r="108" spans="1:11" ht="12.75">
      <c r="A108">
        <f t="shared" si="37"/>
        <v>4.3499999999999925</v>
      </c>
      <c r="B108" s="2">
        <f t="shared" si="38"/>
        <v>2.607642205644305</v>
      </c>
      <c r="C108" s="17">
        <f t="shared" si="36"/>
        <v>5.833129486498536</v>
      </c>
      <c r="D108" s="2">
        <f t="shared" si="39"/>
        <v>10.987018343827584</v>
      </c>
      <c r="E108" s="5">
        <f t="shared" si="40"/>
        <v>245.0900473484314</v>
      </c>
      <c r="F108" s="3">
        <f t="shared" si="28"/>
        <v>1.408715336885946</v>
      </c>
      <c r="G108" s="2">
        <f t="shared" si="18"/>
        <v>2.2949986492541152E-11</v>
      </c>
      <c r="H108" s="2">
        <f t="shared" si="27"/>
        <v>2.3412022761744174E-12</v>
      </c>
      <c r="I108" s="1">
        <f t="shared" si="29"/>
        <v>3.197303191180654</v>
      </c>
      <c r="J108" s="5">
        <f t="shared" si="41"/>
        <v>17156.3033143902</v>
      </c>
      <c r="K108" s="1">
        <f t="shared" si="42"/>
        <v>1.3536743393967103E-09</v>
      </c>
    </row>
    <row r="109" spans="1:11" ht="12.75">
      <c r="A109">
        <f t="shared" si="37"/>
        <v>4.399999999999992</v>
      </c>
      <c r="B109" s="2">
        <f t="shared" si="38"/>
        <v>2.6076422056454525</v>
      </c>
      <c r="C109" s="17">
        <f t="shared" si="36"/>
        <v>5.833129486501103</v>
      </c>
      <c r="D109" s="2">
        <f t="shared" si="39"/>
        <v>11.117400454109857</v>
      </c>
      <c r="E109" s="5">
        <f t="shared" si="40"/>
        <v>245.09004734853923</v>
      </c>
      <c r="F109" s="3">
        <f t="shared" si="28"/>
        <v>1.4087153368438814</v>
      </c>
      <c r="G109" s="2">
        <f t="shared" si="18"/>
        <v>1.6802116898094674E-11</v>
      </c>
      <c r="H109" s="2">
        <f t="shared" si="27"/>
        <v>1.714038234364654E-12</v>
      </c>
      <c r="I109" s="1">
        <f t="shared" si="29"/>
        <v>3.1973031910851826</v>
      </c>
      <c r="J109" s="5">
        <f t="shared" si="41"/>
        <v>17156.303314397745</v>
      </c>
      <c r="K109" s="1">
        <f t="shared" si="42"/>
        <v>9.910504522469633E-10</v>
      </c>
    </row>
    <row r="110" spans="1:11" ht="12.75">
      <c r="A110">
        <f t="shared" si="37"/>
        <v>4.449999999999992</v>
      </c>
      <c r="B110" s="2">
        <f t="shared" si="38"/>
        <v>2.6076422056462927</v>
      </c>
      <c r="C110" s="17">
        <f t="shared" si="36"/>
        <v>5.833129486502982</v>
      </c>
      <c r="D110" s="2">
        <f t="shared" si="39"/>
        <v>11.247782564392171</v>
      </c>
      <c r="E110" s="5">
        <f t="shared" si="40"/>
        <v>245.0900473486182</v>
      </c>
      <c r="F110" s="3">
        <f t="shared" si="28"/>
        <v>1.4087153368130643</v>
      </c>
      <c r="G110" s="2">
        <f t="shared" si="18"/>
        <v>1.2298105521463001E-11</v>
      </c>
      <c r="H110" s="2">
        <f t="shared" si="27"/>
        <v>1.2545694808508925E-12</v>
      </c>
      <c r="I110" s="1">
        <f t="shared" si="29"/>
        <v>3.1973031910152376</v>
      </c>
      <c r="J110" s="5">
        <f t="shared" si="41"/>
        <v>17156.303314403274</v>
      </c>
      <c r="K110" s="1">
        <f t="shared" si="42"/>
        <v>7.253873492695962E-10</v>
      </c>
    </row>
    <row r="111" spans="1:11" ht="12.75">
      <c r="A111">
        <f t="shared" si="37"/>
        <v>4.499999999999992</v>
      </c>
      <c r="B111" s="2">
        <f t="shared" si="38"/>
        <v>2.6076422056469077</v>
      </c>
      <c r="C111" s="17">
        <f t="shared" si="36"/>
        <v>5.833129486504358</v>
      </c>
      <c r="D111" s="2">
        <f t="shared" si="39"/>
        <v>11.378164674674517</v>
      </c>
      <c r="E111" s="5">
        <f t="shared" si="40"/>
        <v>245.090047348676</v>
      </c>
      <c r="F111" s="3">
        <f t="shared" si="28"/>
        <v>1.408715336790514</v>
      </c>
      <c r="G111" s="2">
        <f t="shared" si="18"/>
        <v>9.00232704579824E-12</v>
      </c>
      <c r="H111" s="2">
        <f t="shared" si="27"/>
        <v>9.183564695055153E-13</v>
      </c>
      <c r="I111" s="1">
        <f t="shared" si="29"/>
        <v>3.1973031909640572</v>
      </c>
      <c r="J111" s="5">
        <f t="shared" si="41"/>
        <v>17156.30331440732</v>
      </c>
      <c r="K111" s="1">
        <f t="shared" si="42"/>
        <v>5.309902522476275E-10</v>
      </c>
    </row>
    <row r="112" spans="1:11" ht="12.75">
      <c r="A112">
        <f t="shared" si="37"/>
        <v>4.549999999999992</v>
      </c>
      <c r="B112" s="2">
        <f t="shared" si="38"/>
        <v>2.607642205647358</v>
      </c>
      <c r="C112" s="17">
        <f t="shared" si="36"/>
        <v>5.8331294865053644</v>
      </c>
      <c r="D112" s="2">
        <f t="shared" si="39"/>
        <v>11.508546784956884</v>
      </c>
      <c r="E112" s="5">
        <f t="shared" si="40"/>
        <v>245.09004734871834</v>
      </c>
      <c r="F112" s="3">
        <f t="shared" si="28"/>
        <v>1.4087153367740073</v>
      </c>
      <c r="G112" s="2">
        <f t="shared" si="18"/>
        <v>6.589795959649493E-12</v>
      </c>
      <c r="H112" s="2">
        <f t="shared" si="27"/>
        <v>6.72246378239506E-13</v>
      </c>
      <c r="I112" s="1">
        <f t="shared" si="29"/>
        <v>3.197303190926592</v>
      </c>
      <c r="J112" s="5">
        <f t="shared" si="41"/>
        <v>17156.303314410285</v>
      </c>
      <c r="K112" s="1">
        <f t="shared" si="42"/>
        <v>3.88690324298745E-10</v>
      </c>
    </row>
    <row r="113" spans="1:11" ht="12.75">
      <c r="A113">
        <f t="shared" si="37"/>
        <v>4.599999999999992</v>
      </c>
      <c r="B113" s="2">
        <f t="shared" si="38"/>
        <v>2.6076422056476876</v>
      </c>
      <c r="C113" s="17">
        <f t="shared" si="36"/>
        <v>5.833129486506102</v>
      </c>
      <c r="D113" s="2">
        <f t="shared" si="39"/>
        <v>11.63892889523927</v>
      </c>
      <c r="E113" s="5">
        <f t="shared" si="40"/>
        <v>245.09004734874932</v>
      </c>
      <c r="F113" s="3">
        <f t="shared" si="28"/>
        <v>1.408715336761921</v>
      </c>
      <c r="G113" s="2">
        <f t="shared" si="18"/>
        <v>4.8233562116074624E-12</v>
      </c>
      <c r="H113" s="2">
        <f t="shared" si="27"/>
        <v>4.920461519698717E-13</v>
      </c>
      <c r="I113" s="1">
        <f t="shared" si="29"/>
        <v>3.1973031908991603</v>
      </c>
      <c r="J113" s="5">
        <f t="shared" si="41"/>
        <v>17156.303314412453</v>
      </c>
      <c r="K113" s="1">
        <f t="shared" si="42"/>
        <v>2.844992320821098E-10</v>
      </c>
    </row>
    <row r="114" spans="1:11" ht="12.75">
      <c r="A114">
        <f t="shared" si="37"/>
        <v>4.6499999999999915</v>
      </c>
      <c r="B114" s="2">
        <f t="shared" si="38"/>
        <v>2.6076422056479287</v>
      </c>
      <c r="C114" s="17">
        <f t="shared" si="36"/>
        <v>5.833129486506641</v>
      </c>
      <c r="D114" s="2">
        <f t="shared" si="39"/>
        <v>11.769311005521665</v>
      </c>
      <c r="E114" s="5">
        <f t="shared" si="40"/>
        <v>245.09004734877198</v>
      </c>
      <c r="F114" s="3">
        <f t="shared" si="28"/>
        <v>1.408715336753094</v>
      </c>
      <c r="G114" s="2">
        <f t="shared" si="18"/>
        <v>3.5332647130140686E-12</v>
      </c>
      <c r="H114" s="2">
        <f t="shared" si="27"/>
        <v>3.6043974976297927E-13</v>
      </c>
      <c r="I114" s="1">
        <f t="shared" si="29"/>
        <v>3.1973031908791265</v>
      </c>
      <c r="J114" s="5">
        <f t="shared" si="41"/>
        <v>17156.30331441404</v>
      </c>
      <c r="K114" s="1">
        <f t="shared" si="42"/>
        <v>2.0840490594003124E-10</v>
      </c>
    </row>
    <row r="115" spans="1:11" ht="12.75">
      <c r="A115">
        <f t="shared" si="37"/>
        <v>4.699999999999991</v>
      </c>
      <c r="B115" s="2">
        <f t="shared" si="38"/>
        <v>2.6076422056481054</v>
      </c>
      <c r="C115" s="17">
        <f t="shared" si="36"/>
        <v>5.833129486507037</v>
      </c>
      <c r="D115" s="2">
        <f t="shared" si="39"/>
        <v>11.89969311580407</v>
      </c>
      <c r="E115" s="5">
        <f t="shared" si="40"/>
        <v>245.0900473487886</v>
      </c>
      <c r="F115" s="3">
        <f t="shared" si="28"/>
        <v>1.4087153367465892</v>
      </c>
      <c r="G115" s="2">
        <f t="shared" si="18"/>
        <v>2.5825493297568295E-12</v>
      </c>
      <c r="H115" s="2">
        <f t="shared" si="27"/>
        <v>2.6345420164515E-13</v>
      </c>
      <c r="I115" s="1">
        <f t="shared" si="29"/>
        <v>3.1973031908643628</v>
      </c>
      <c r="J115" s="5">
        <f t="shared" si="41"/>
        <v>17156.303314415203</v>
      </c>
      <c r="K115" s="1">
        <f t="shared" si="42"/>
        <v>1.5232822725425945E-10</v>
      </c>
    </row>
    <row r="116" spans="1:11" ht="12.75">
      <c r="A116">
        <f t="shared" si="37"/>
        <v>4.749999999999991</v>
      </c>
      <c r="B116" s="2">
        <f t="shared" si="38"/>
        <v>2.6076422056482347</v>
      </c>
      <c r="C116" s="17">
        <f t="shared" si="36"/>
        <v>5.8331294865073255</v>
      </c>
      <c r="D116" s="2">
        <f t="shared" si="39"/>
        <v>12.030075226086481</v>
      </c>
      <c r="E116" s="5">
        <f t="shared" si="40"/>
        <v>245.09004734880074</v>
      </c>
      <c r="F116" s="3">
        <f t="shared" si="28"/>
        <v>1.408715336741875</v>
      </c>
      <c r="G116" s="2">
        <f t="shared" si="18"/>
        <v>1.893561334944336E-12</v>
      </c>
      <c r="H116" s="2">
        <f t="shared" si="27"/>
        <v>1.9316831009414149E-13</v>
      </c>
      <c r="I116" s="1">
        <f t="shared" si="29"/>
        <v>3.1973031908536633</v>
      </c>
      <c r="J116" s="5">
        <f t="shared" si="41"/>
        <v>17156.30331441605</v>
      </c>
      <c r="K116" s="1">
        <f t="shared" si="42"/>
        <v>1.1168918944771491E-10</v>
      </c>
    </row>
    <row r="117" spans="1:11" ht="12.75">
      <c r="A117">
        <f t="shared" si="37"/>
        <v>4.799999999999991</v>
      </c>
      <c r="B117" s="2">
        <f t="shared" si="38"/>
        <v>2.6076422056483293</v>
      </c>
      <c r="C117" s="17">
        <f t="shared" si="36"/>
        <v>5.833129486507537</v>
      </c>
      <c r="D117" s="2">
        <f t="shared" si="39"/>
        <v>12.160457336368898</v>
      </c>
      <c r="E117" s="5">
        <f t="shared" si="40"/>
        <v>245.09004734880963</v>
      </c>
      <c r="F117" s="3">
        <f t="shared" si="28"/>
        <v>1.408715336738392</v>
      </c>
      <c r="G117" s="2">
        <f aca="true" t="shared" si="43" ref="G117:G177">(1/($A$15*$A$14)*F117*$A$7/$A$6*$D$15*$D$16-$D$14/$A$15)/(1+1/($A$15*$A$14^2)*($G$14*$A$7/$A$6+$G$15))</f>
        <v>1.3844971619401051E-12</v>
      </c>
      <c r="H117" s="2">
        <f t="shared" si="27"/>
        <v>1.4123702896054692E-13</v>
      </c>
      <c r="I117" s="1">
        <f t="shared" si="29"/>
        <v>3.197303190845757</v>
      </c>
      <c r="J117" s="5">
        <f t="shared" si="41"/>
        <v>17156.303314416673</v>
      </c>
      <c r="K117" s="1">
        <f t="shared" si="42"/>
        <v>8.166271826325483E-11</v>
      </c>
    </row>
    <row r="118" spans="1:11" ht="12.75">
      <c r="A118">
        <f t="shared" si="37"/>
        <v>4.849999999999991</v>
      </c>
      <c r="B118" s="2">
        <f t="shared" si="38"/>
        <v>2.6076422056483985</v>
      </c>
      <c r="C118" s="17">
        <f t="shared" si="36"/>
        <v>5.833129486507692</v>
      </c>
      <c r="D118" s="2">
        <f t="shared" si="39"/>
        <v>12.290839446651319</v>
      </c>
      <c r="E118" s="5">
        <f t="shared" si="40"/>
        <v>245.09004734881614</v>
      </c>
      <c r="F118" s="3">
        <f t="shared" si="28"/>
        <v>1.408715336735846</v>
      </c>
      <c r="G118" s="2">
        <f t="shared" si="43"/>
        <v>1.012405123048358E-12</v>
      </c>
      <c r="H118" s="2">
        <f t="shared" si="27"/>
        <v>1.0327871780063125E-13</v>
      </c>
      <c r="I118" s="1">
        <f t="shared" si="29"/>
        <v>3.1973031908399787</v>
      </c>
      <c r="J118" s="5">
        <f t="shared" si="41"/>
        <v>17156.30331441713</v>
      </c>
      <c r="K118" s="1">
        <f t="shared" si="42"/>
        <v>5.97153656970447E-11</v>
      </c>
    </row>
    <row r="119" spans="1:11" ht="12.75">
      <c r="A119">
        <f t="shared" si="37"/>
        <v>4.899999999999991</v>
      </c>
      <c r="B119" s="2">
        <f t="shared" si="38"/>
        <v>2.607642205648449</v>
      </c>
      <c r="C119" s="17">
        <f t="shared" si="36"/>
        <v>5.833129486507806</v>
      </c>
      <c r="D119" s="2">
        <f t="shared" si="39"/>
        <v>12.421221556933741</v>
      </c>
      <c r="E119" s="5">
        <f t="shared" si="40"/>
        <v>245.0900473488209</v>
      </c>
      <c r="F119" s="3">
        <f t="shared" si="28"/>
        <v>1.4087153367339993</v>
      </c>
      <c r="G119" s="2">
        <f t="shared" si="43"/>
        <v>7.425056325884639E-13</v>
      </c>
      <c r="H119" s="2">
        <f t="shared" si="27"/>
        <v>7.574539870223499E-14</v>
      </c>
      <c r="I119" s="1">
        <f t="shared" si="29"/>
        <v>3.197303190835788</v>
      </c>
      <c r="J119" s="5">
        <f t="shared" si="41"/>
        <v>17156.303314417462</v>
      </c>
      <c r="K119" s="1">
        <f t="shared" si="42"/>
        <v>4.379570428153371E-11</v>
      </c>
    </row>
    <row r="120" spans="1:11" ht="12.75">
      <c r="A120">
        <f t="shared" si="37"/>
        <v>4.94999999999999</v>
      </c>
      <c r="B120" s="2">
        <f t="shared" si="38"/>
        <v>2.6076422056484865</v>
      </c>
      <c r="C120" s="17">
        <f t="shared" si="36"/>
        <v>5.833129486507889</v>
      </c>
      <c r="D120" s="2">
        <f t="shared" si="39"/>
        <v>12.551603667216165</v>
      </c>
      <c r="E120" s="5">
        <f t="shared" si="40"/>
        <v>245.09004734882444</v>
      </c>
      <c r="F120" s="3">
        <f t="shared" si="28"/>
        <v>1.4087153367326286</v>
      </c>
      <c r="G120" s="2">
        <f t="shared" si="43"/>
        <v>5.421653134898311E-13</v>
      </c>
      <c r="H120" s="2">
        <f t="shared" si="27"/>
        <v>5.5308035428157803E-14</v>
      </c>
      <c r="I120" s="1">
        <f t="shared" si="29"/>
        <v>3.197303190832676</v>
      </c>
      <c r="J120" s="5">
        <f t="shared" si="41"/>
        <v>17156.30331441771</v>
      </c>
      <c r="K120" s="1">
        <f t="shared" si="42"/>
        <v>3.197889780112433E-11</v>
      </c>
    </row>
    <row r="121" spans="1:11" ht="12.75">
      <c r="A121">
        <f t="shared" si="37"/>
        <v>4.99999999999999</v>
      </c>
      <c r="B121" s="2">
        <f t="shared" si="38"/>
        <v>2.6076422056485136</v>
      </c>
      <c r="C121" s="17">
        <f t="shared" si="36"/>
        <v>5.83312948650795</v>
      </c>
      <c r="D121" s="2">
        <f t="shared" si="39"/>
        <v>12.681985777498591</v>
      </c>
      <c r="E121" s="5">
        <f t="shared" si="40"/>
        <v>245.0900473488269</v>
      </c>
      <c r="F121" s="3">
        <f t="shared" si="28"/>
        <v>1.4087153367316212</v>
      </c>
      <c r="G121" s="2">
        <f t="shared" si="43"/>
        <v>3.949298997421613E-13</v>
      </c>
      <c r="H121" s="2">
        <f t="shared" si="27"/>
        <v>4.028807513704573E-14</v>
      </c>
      <c r="I121" s="1">
        <f t="shared" si="29"/>
        <v>3.1973031908303904</v>
      </c>
      <c r="J121" s="5">
        <f t="shared" si="41"/>
        <v>17156.30331441788</v>
      </c>
      <c r="K121" s="1">
        <f t="shared" si="42"/>
        <v>2.3294413324174666E-11</v>
      </c>
    </row>
    <row r="122" spans="1:11" ht="12.75">
      <c r="A122">
        <f t="shared" si="37"/>
        <v>5.04999999999999</v>
      </c>
      <c r="B122" s="2">
        <f t="shared" si="38"/>
        <v>2.607642205648533</v>
      </c>
      <c r="C122" s="17">
        <f t="shared" si="36"/>
        <v>5.8331294865079935</v>
      </c>
      <c r="D122" s="2">
        <f t="shared" si="39"/>
        <v>12.812367887781017</v>
      </c>
      <c r="E122" s="5">
        <f t="shared" si="40"/>
        <v>245.09004734882882</v>
      </c>
      <c r="F122" s="3">
        <f t="shared" si="28"/>
        <v>1.4087153367309218</v>
      </c>
      <c r="G122" s="2">
        <f t="shared" si="43"/>
        <v>2.927098358153077E-13</v>
      </c>
      <c r="H122" s="2">
        <f t="shared" si="27"/>
        <v>2.986027613097557E-14</v>
      </c>
      <c r="I122" s="1">
        <f t="shared" si="29"/>
        <v>3.1973031908288028</v>
      </c>
      <c r="J122" s="5">
        <f t="shared" si="41"/>
        <v>17156.30331441802</v>
      </c>
      <c r="K122" s="1">
        <f t="shared" si="42"/>
        <v>1.7265099208706897E-11</v>
      </c>
    </row>
    <row r="123" spans="1:11" ht="12.75">
      <c r="A123">
        <f t="shared" si="37"/>
        <v>5.09999999999999</v>
      </c>
      <c r="B123" s="2">
        <f t="shared" si="38"/>
        <v>2.6076422056485478</v>
      </c>
      <c r="C123" s="17">
        <f t="shared" si="36"/>
        <v>5.833129486508026</v>
      </c>
      <c r="D123" s="2">
        <f t="shared" si="39"/>
        <v>12.942749998063444</v>
      </c>
      <c r="E123" s="5">
        <f t="shared" si="40"/>
        <v>245.09004734883015</v>
      </c>
      <c r="F123" s="3">
        <f t="shared" si="28"/>
        <v>1.4087153367303904</v>
      </c>
      <c r="G123" s="2">
        <f t="shared" si="43"/>
        <v>2.150611089238997E-13</v>
      </c>
      <c r="H123" s="2">
        <f t="shared" si="27"/>
        <v>2.1939078608733322E-14</v>
      </c>
      <c r="I123" s="1">
        <f t="shared" si="29"/>
        <v>3.197303190827596</v>
      </c>
      <c r="J123" s="5">
        <f t="shared" si="41"/>
        <v>17156.30331441811</v>
      </c>
      <c r="K123" s="1">
        <f t="shared" si="42"/>
        <v>1.2685092631627476E-11</v>
      </c>
    </row>
    <row r="124" spans="1:11" ht="12.75">
      <c r="A124">
        <f t="shared" si="37"/>
        <v>5.14999999999999</v>
      </c>
      <c r="B124" s="2">
        <f t="shared" si="38"/>
        <v>2.6076422056485584</v>
      </c>
      <c r="C124" s="17">
        <f t="shared" si="36"/>
        <v>5.83312948650805</v>
      </c>
      <c r="D124" s="2">
        <f t="shared" si="39"/>
        <v>13.073132108345872</v>
      </c>
      <c r="E124" s="5">
        <f t="shared" si="40"/>
        <v>245.09004734883118</v>
      </c>
      <c r="F124" s="3">
        <f t="shared" si="28"/>
        <v>1.4087153367299845</v>
      </c>
      <c r="G124" s="2">
        <f t="shared" si="43"/>
        <v>1.557101862078235E-13</v>
      </c>
      <c r="H124" s="2">
        <f t="shared" si="27"/>
        <v>1.588449921274589E-14</v>
      </c>
      <c r="I124" s="1">
        <f t="shared" si="29"/>
        <v>3.197303190826676</v>
      </c>
      <c r="J124" s="5">
        <f t="shared" si="41"/>
        <v>17156.303314418183</v>
      </c>
      <c r="K124" s="1">
        <f t="shared" si="42"/>
        <v>9.184357625688318E-12</v>
      </c>
    </row>
    <row r="125" spans="1:11" ht="12.75">
      <c r="A125">
        <f t="shared" si="37"/>
        <v>5.1999999999999895</v>
      </c>
      <c r="B125" s="2">
        <f t="shared" si="38"/>
        <v>2.6076422056485664</v>
      </c>
      <c r="C125" s="17">
        <f t="shared" si="36"/>
        <v>5.833129486508068</v>
      </c>
      <c r="D125" s="2">
        <f t="shared" si="39"/>
        <v>13.2035142186283</v>
      </c>
      <c r="E125" s="5">
        <f t="shared" si="40"/>
        <v>245.09004734883192</v>
      </c>
      <c r="F125" s="3">
        <f t="shared" si="28"/>
        <v>1.4087153367297047</v>
      </c>
      <c r="G125" s="2">
        <f t="shared" si="43"/>
        <v>1.1482216063708207E-13</v>
      </c>
      <c r="H125" s="2">
        <f t="shared" si="27"/>
        <v>1.1713379610317829E-14</v>
      </c>
      <c r="I125" s="1">
        <f t="shared" si="29"/>
        <v>3.197303190826041</v>
      </c>
      <c r="J125" s="5">
        <f t="shared" si="41"/>
        <v>17156.303314418234</v>
      </c>
      <c r="K125" s="1">
        <f t="shared" si="42"/>
        <v>6.77263197950121E-12</v>
      </c>
    </row>
    <row r="126" spans="1:11" ht="12.75">
      <c r="A126">
        <f aca="true" t="shared" si="44" ref="A126:A177">A125+$I$14</f>
        <v>5.249999999999989</v>
      </c>
      <c r="B126" s="2">
        <f aca="true" t="shared" si="45" ref="B126:B177">B125+G125*$I$14</f>
        <v>2.607642205648572</v>
      </c>
      <c r="C126" s="17">
        <f t="shared" si="36"/>
        <v>5.8331294865080805</v>
      </c>
      <c r="D126" s="2">
        <f aca="true" t="shared" si="46" ref="D126:D177">D125+B126*$I$14</f>
        <v>13.333896328910729</v>
      </c>
      <c r="E126" s="5">
        <f aca="true" t="shared" si="47" ref="E126:E177">B126*$A$7/$A$6/$A$14*60/2/PI()</f>
        <v>245.09004734883248</v>
      </c>
      <c r="F126" s="3">
        <f t="shared" si="28"/>
        <v>1.4087153367294811</v>
      </c>
      <c r="G126" s="2">
        <f t="shared" si="43"/>
        <v>8.216126807148983E-14</v>
      </c>
      <c r="H126" s="2">
        <f t="shared" si="27"/>
        <v>8.381536428566748E-15</v>
      </c>
      <c r="I126" s="1">
        <f t="shared" si="29"/>
        <v>3.1973031908255325</v>
      </c>
      <c r="J126" s="5">
        <f aca="true" t="shared" si="48" ref="J126:J177">E126*$A$5</f>
        <v>17156.303314418274</v>
      </c>
      <c r="K126" s="1">
        <f aca="true" t="shared" si="49" ref="K126:K177">G126*$A$15</f>
        <v>4.846172799135062E-12</v>
      </c>
    </row>
    <row r="127" spans="1:11" ht="12.75">
      <c r="A127">
        <f t="shared" si="44"/>
        <v>5.299999999999989</v>
      </c>
      <c r="B127" s="2">
        <f t="shared" si="45"/>
        <v>2.607642205648576</v>
      </c>
      <c r="C127" s="17">
        <f t="shared" si="36"/>
        <v>5.83312948650809</v>
      </c>
      <c r="D127" s="2">
        <f t="shared" si="46"/>
        <v>13.464278439193158</v>
      </c>
      <c r="E127" s="5">
        <f t="shared" si="47"/>
        <v>245.09004734883283</v>
      </c>
      <c r="F127" s="3">
        <f t="shared" si="28"/>
        <v>1.408715336729327</v>
      </c>
      <c r="G127" s="2">
        <f t="shared" si="43"/>
        <v>5.96260776660812E-14</v>
      </c>
      <c r="H127" s="2">
        <f t="shared" si="27"/>
        <v>6.082648841495025E-15</v>
      </c>
      <c r="I127" s="1">
        <f t="shared" si="29"/>
        <v>3.1973031908251834</v>
      </c>
      <c r="J127" s="5">
        <f t="shared" si="48"/>
        <v>17156.3033144183</v>
      </c>
      <c r="K127" s="1">
        <f t="shared" si="49"/>
        <v>3.516964653625479E-12</v>
      </c>
    </row>
    <row r="128" spans="1:11" ht="12.75">
      <c r="A128">
        <f t="shared" si="44"/>
        <v>5.349999999999989</v>
      </c>
      <c r="B128" s="2">
        <f t="shared" si="45"/>
        <v>2.6076422056485793</v>
      </c>
      <c r="C128" s="17">
        <f t="shared" si="36"/>
        <v>5.8331294865080965</v>
      </c>
      <c r="D128" s="2">
        <f t="shared" si="46"/>
        <v>13.594660549475588</v>
      </c>
      <c r="E128" s="5">
        <f t="shared" si="47"/>
        <v>245.09004734883317</v>
      </c>
      <c r="F128" s="3">
        <f t="shared" si="28"/>
        <v>1.4087153367292151</v>
      </c>
      <c r="G128" s="2">
        <f t="shared" si="43"/>
        <v>4.328187363578483E-14</v>
      </c>
      <c r="H128" s="2">
        <f t="shared" si="27"/>
        <v>4.415323778344104E-15</v>
      </c>
      <c r="I128" s="1">
        <f t="shared" si="29"/>
        <v>3.1973031908249294</v>
      </c>
      <c r="J128" s="5">
        <f t="shared" si="48"/>
        <v>17156.30331441832</v>
      </c>
      <c r="K128" s="1">
        <f t="shared" si="49"/>
        <v>2.5529235810580887E-12</v>
      </c>
    </row>
    <row r="129" spans="1:11" ht="12.75">
      <c r="A129">
        <f t="shared" si="44"/>
        <v>5.399999999999989</v>
      </c>
      <c r="B129" s="2">
        <f t="shared" si="45"/>
        <v>2.6076422056485815</v>
      </c>
      <c r="C129" s="17">
        <f t="shared" si="36"/>
        <v>5.833129486508101</v>
      </c>
      <c r="D129" s="2">
        <f t="shared" si="46"/>
        <v>13.725042659758017</v>
      </c>
      <c r="E129" s="5">
        <f t="shared" si="47"/>
        <v>245.09004734883334</v>
      </c>
      <c r="F129" s="3">
        <f t="shared" si="28"/>
        <v>1.4087153367291452</v>
      </c>
      <c r="G129" s="2">
        <f t="shared" si="43"/>
        <v>3.304610949559923E-14</v>
      </c>
      <c r="H129" s="2">
        <f t="shared" si="27"/>
        <v>3.3711404054617098E-15</v>
      </c>
      <c r="I129" s="1">
        <f t="shared" si="29"/>
        <v>3.197303190824771</v>
      </c>
      <c r="J129" s="5">
        <f t="shared" si="48"/>
        <v>17156.303314418332</v>
      </c>
      <c r="K129" s="1">
        <f t="shared" si="49"/>
        <v>1.949180687126996E-12</v>
      </c>
    </row>
    <row r="130" spans="1:11" ht="12.75">
      <c r="A130">
        <f t="shared" si="44"/>
        <v>5.449999999999989</v>
      </c>
      <c r="B130" s="2">
        <f t="shared" si="45"/>
        <v>2.6076422056485833</v>
      </c>
      <c r="C130" s="17">
        <f t="shared" si="36"/>
        <v>5.833129486508105</v>
      </c>
      <c r="D130" s="2">
        <f t="shared" si="46"/>
        <v>13.855424770040447</v>
      </c>
      <c r="E130" s="5">
        <f t="shared" si="47"/>
        <v>245.0900473488335</v>
      </c>
      <c r="F130" s="3">
        <f t="shared" si="28"/>
        <v>1.4087153367290894</v>
      </c>
      <c r="G130" s="2">
        <f t="shared" si="43"/>
        <v>2.490152297545154E-14</v>
      </c>
      <c r="H130" s="2">
        <f t="shared" si="27"/>
        <v>2.5402848184370084E-15</v>
      </c>
      <c r="I130" s="1">
        <f t="shared" si="29"/>
        <v>3.197303190824644</v>
      </c>
      <c r="J130" s="5">
        <f t="shared" si="48"/>
        <v>17156.303314418346</v>
      </c>
      <c r="K130" s="1">
        <f t="shared" si="49"/>
        <v>1.4687831156119327E-12</v>
      </c>
    </row>
    <row r="131" spans="1:11" ht="12.75">
      <c r="A131">
        <f t="shared" si="44"/>
        <v>5.4999999999999885</v>
      </c>
      <c r="B131" s="2">
        <f t="shared" si="45"/>
        <v>2.6076422056485846</v>
      </c>
      <c r="C131" s="17">
        <f t="shared" si="36"/>
        <v>5.833129486508109</v>
      </c>
      <c r="D131" s="2">
        <f t="shared" si="46"/>
        <v>13.985806880322876</v>
      </c>
      <c r="E131" s="5">
        <f t="shared" si="47"/>
        <v>245.0900473488336</v>
      </c>
      <c r="F131" s="3">
        <f t="shared" si="28"/>
        <v>1.4087153367290333</v>
      </c>
      <c r="G131" s="2">
        <f t="shared" si="43"/>
        <v>1.6729420960303357E-14</v>
      </c>
      <c r="H131" s="2">
        <f t="shared" si="27"/>
        <v>1.7066222868615483E-15</v>
      </c>
      <c r="I131" s="1">
        <f t="shared" si="29"/>
        <v>3.1973031908245164</v>
      </c>
      <c r="J131" s="5">
        <f t="shared" si="48"/>
        <v>17156.30331441835</v>
      </c>
      <c r="K131" s="1">
        <f t="shared" si="49"/>
        <v>9.867625793282377E-13</v>
      </c>
    </row>
    <row r="132" spans="1:11" ht="12.75">
      <c r="A132">
        <f t="shared" si="44"/>
        <v>5.549999999999988</v>
      </c>
      <c r="B132" s="2">
        <f t="shared" si="45"/>
        <v>2.6076422056485855</v>
      </c>
      <c r="C132" s="17">
        <f t="shared" si="36"/>
        <v>5.833129486508111</v>
      </c>
      <c r="D132" s="2">
        <f t="shared" si="46"/>
        <v>14.116188990605306</v>
      </c>
      <c r="E132" s="5">
        <f t="shared" si="47"/>
        <v>245.0900473488337</v>
      </c>
      <c r="F132" s="3">
        <f t="shared" si="28"/>
        <v>1.4087153367289915</v>
      </c>
      <c r="G132" s="2">
        <f t="shared" si="43"/>
        <v>1.0593465575192091E-14</v>
      </c>
      <c r="H132" s="2">
        <f t="shared" si="27"/>
        <v>1.0806736520422633E-15</v>
      </c>
      <c r="I132" s="1">
        <f t="shared" si="29"/>
        <v>3.197303190824421</v>
      </c>
      <c r="J132" s="5">
        <f t="shared" si="48"/>
        <v>17156.30331441836</v>
      </c>
      <c r="K132" s="1">
        <f t="shared" si="49"/>
        <v>6.248414359233084E-13</v>
      </c>
    </row>
    <row r="133" spans="1:11" ht="12.75">
      <c r="A133">
        <f t="shared" si="44"/>
        <v>5.599999999999988</v>
      </c>
      <c r="B133" s="2">
        <f t="shared" si="45"/>
        <v>2.607642205648586</v>
      </c>
      <c r="C133" s="17">
        <f t="shared" si="36"/>
        <v>5.833129486508112</v>
      </c>
      <c r="D133" s="2">
        <f t="shared" si="46"/>
        <v>14.246571100887735</v>
      </c>
      <c r="E133" s="5">
        <f t="shared" si="47"/>
        <v>245.09004734883374</v>
      </c>
      <c r="F133" s="3">
        <f t="shared" si="28"/>
        <v>1.4087153367289773</v>
      </c>
      <c r="G133" s="2">
        <f t="shared" si="43"/>
        <v>8.52980345015467E-15</v>
      </c>
      <c r="H133" s="2">
        <f t="shared" si="27"/>
        <v>8.701528107353287E-16</v>
      </c>
      <c r="I133" s="1">
        <f t="shared" si="29"/>
        <v>3.1973031908243894</v>
      </c>
      <c r="J133" s="5">
        <f t="shared" si="48"/>
        <v>17156.30331441836</v>
      </c>
      <c r="K133" s="1">
        <f t="shared" si="49"/>
        <v>5.031190782759106E-13</v>
      </c>
    </row>
    <row r="134" spans="1:11" ht="12.75">
      <c r="A134">
        <f t="shared" si="44"/>
        <v>5.649999999999988</v>
      </c>
      <c r="B134" s="2">
        <f t="shared" si="45"/>
        <v>2.6076422056485864</v>
      </c>
      <c r="C134" s="17">
        <f t="shared" si="36"/>
        <v>5.8331294865081125</v>
      </c>
      <c r="D134" s="2">
        <f t="shared" si="46"/>
        <v>14.376953211170164</v>
      </c>
      <c r="E134" s="5">
        <f t="shared" si="47"/>
        <v>245.09004734883376</v>
      </c>
      <c r="F134" s="3">
        <f t="shared" si="28"/>
        <v>1.4087153367289773</v>
      </c>
      <c r="G134" s="2">
        <f t="shared" si="43"/>
        <v>8.52980345015467E-15</v>
      </c>
      <c r="H134" s="2">
        <f t="shared" si="27"/>
        <v>8.701528107353287E-16</v>
      </c>
      <c r="I134" s="1">
        <f t="shared" si="29"/>
        <v>3.1973031908243894</v>
      </c>
      <c r="J134" s="5">
        <f t="shared" si="48"/>
        <v>17156.303314418365</v>
      </c>
      <c r="K134" s="1">
        <f t="shared" si="49"/>
        <v>5.031190782759106E-13</v>
      </c>
    </row>
    <row r="135" spans="1:11" ht="12.75">
      <c r="A135">
        <f t="shared" si="44"/>
        <v>5.699999999999988</v>
      </c>
      <c r="B135" s="2">
        <f t="shared" si="45"/>
        <v>2.607642205648587</v>
      </c>
      <c r="C135" s="17">
        <f t="shared" si="36"/>
        <v>5.833129486508113</v>
      </c>
      <c r="D135" s="2">
        <f t="shared" si="46"/>
        <v>14.507335321452594</v>
      </c>
      <c r="E135" s="5">
        <f t="shared" si="47"/>
        <v>245.09004734883385</v>
      </c>
      <c r="F135" s="3">
        <f t="shared" si="28"/>
        <v>1.4087153367289633</v>
      </c>
      <c r="G135" s="2">
        <f t="shared" si="43"/>
        <v>6.49365682011775E-15</v>
      </c>
      <c r="H135" s="2">
        <f t="shared" si="27"/>
        <v>6.624389139791536E-16</v>
      </c>
      <c r="I135" s="1">
        <f t="shared" si="29"/>
        <v>3.197303190824358</v>
      </c>
      <c r="J135" s="5">
        <f t="shared" si="48"/>
        <v>17156.30331441837</v>
      </c>
      <c r="K135" s="1">
        <f t="shared" si="49"/>
        <v>3.830196853971449E-13</v>
      </c>
    </row>
    <row r="136" spans="1:11" ht="12.75">
      <c r="A136">
        <f t="shared" si="44"/>
        <v>5.749999999999988</v>
      </c>
      <c r="B136" s="2">
        <f t="shared" si="45"/>
        <v>2.6076422056485873</v>
      </c>
      <c r="C136" s="17">
        <f t="shared" si="36"/>
        <v>5.833129486508115</v>
      </c>
      <c r="D136" s="2">
        <f t="shared" si="46"/>
        <v>14.637717431735023</v>
      </c>
      <c r="E136" s="5">
        <f t="shared" si="47"/>
        <v>245.09004734883388</v>
      </c>
      <c r="F136" s="3">
        <f t="shared" si="28"/>
        <v>1.4087153367289353</v>
      </c>
      <c r="G136" s="2">
        <f t="shared" si="43"/>
        <v>2.393848065043408E-15</v>
      </c>
      <c r="H136" s="2">
        <f t="shared" si="27"/>
        <v>2.442041759160439E-16</v>
      </c>
      <c r="I136" s="1">
        <f t="shared" si="29"/>
        <v>3.1973031908242944</v>
      </c>
      <c r="J136" s="5">
        <f t="shared" si="48"/>
        <v>17156.303314418372</v>
      </c>
      <c r="K136" s="1">
        <f t="shared" si="49"/>
        <v>1.411979348709814E-13</v>
      </c>
    </row>
    <row r="137" spans="1:11" ht="12.75">
      <c r="A137">
        <f t="shared" si="44"/>
        <v>5.799999999999987</v>
      </c>
      <c r="B137" s="2">
        <f t="shared" si="45"/>
        <v>2.6076422056485873</v>
      </c>
      <c r="C137" s="17">
        <f t="shared" si="36"/>
        <v>5.833129486508115</v>
      </c>
      <c r="D137" s="2">
        <f t="shared" si="46"/>
        <v>14.768099542017453</v>
      </c>
      <c r="E137" s="5">
        <f t="shared" si="47"/>
        <v>245.09004734883388</v>
      </c>
      <c r="F137" s="3">
        <f t="shared" si="28"/>
        <v>1.4087153367289353</v>
      </c>
      <c r="G137" s="2">
        <f t="shared" si="43"/>
        <v>2.393848065043408E-15</v>
      </c>
      <c r="H137" s="2">
        <f t="shared" si="27"/>
        <v>2.442041759160439E-16</v>
      </c>
      <c r="I137" s="1">
        <f t="shared" si="29"/>
        <v>3.1973031908242944</v>
      </c>
      <c r="J137" s="5">
        <f t="shared" si="48"/>
        <v>17156.303314418372</v>
      </c>
      <c r="K137" s="1">
        <f t="shared" si="49"/>
        <v>1.411979348709814E-13</v>
      </c>
    </row>
    <row r="138" spans="1:11" ht="12.75">
      <c r="A138">
        <f t="shared" si="44"/>
        <v>5.849999999999987</v>
      </c>
      <c r="B138" s="2">
        <f t="shared" si="45"/>
        <v>2.6076422056485873</v>
      </c>
      <c r="C138" s="17">
        <f t="shared" si="36"/>
        <v>5.833129486508115</v>
      </c>
      <c r="D138" s="2">
        <f t="shared" si="46"/>
        <v>14.898481652299882</v>
      </c>
      <c r="E138" s="5">
        <f t="shared" si="47"/>
        <v>245.09004734883388</v>
      </c>
      <c r="F138" s="3">
        <f t="shared" si="28"/>
        <v>1.4087153367289353</v>
      </c>
      <c r="G138" s="2">
        <f t="shared" si="43"/>
        <v>2.393848065043408E-15</v>
      </c>
      <c r="H138" s="2">
        <f t="shared" si="27"/>
        <v>2.442041759160439E-16</v>
      </c>
      <c r="I138" s="1">
        <f t="shared" si="29"/>
        <v>3.1973031908242944</v>
      </c>
      <c r="J138" s="5">
        <f t="shared" si="48"/>
        <v>17156.303314418372</v>
      </c>
      <c r="K138" s="1">
        <f t="shared" si="49"/>
        <v>1.411979348709814E-13</v>
      </c>
    </row>
    <row r="139" spans="1:11" ht="12.75">
      <c r="A139">
        <f t="shared" si="44"/>
        <v>5.899999999999987</v>
      </c>
      <c r="B139" s="2">
        <f t="shared" si="45"/>
        <v>2.6076422056485873</v>
      </c>
      <c r="C139" s="17">
        <f t="shared" si="36"/>
        <v>5.833129486508115</v>
      </c>
      <c r="D139" s="2">
        <f t="shared" si="46"/>
        <v>15.028863762582311</v>
      </c>
      <c r="E139" s="5">
        <f t="shared" si="47"/>
        <v>245.09004734883388</v>
      </c>
      <c r="F139" s="3">
        <f t="shared" si="28"/>
        <v>1.4087153367289353</v>
      </c>
      <c r="G139" s="2">
        <f t="shared" si="43"/>
        <v>2.393848065043408E-15</v>
      </c>
      <c r="H139" s="2">
        <f t="shared" si="27"/>
        <v>2.442041759160439E-16</v>
      </c>
      <c r="I139" s="1">
        <f t="shared" si="29"/>
        <v>3.1973031908242944</v>
      </c>
      <c r="J139" s="5">
        <f t="shared" si="48"/>
        <v>17156.303314418372</v>
      </c>
      <c r="K139" s="1">
        <f t="shared" si="49"/>
        <v>1.411979348709814E-13</v>
      </c>
    </row>
    <row r="140" spans="1:11" ht="12.75">
      <c r="A140">
        <f t="shared" si="44"/>
        <v>5.949999999999987</v>
      </c>
      <c r="B140" s="2">
        <f t="shared" si="45"/>
        <v>2.6076422056485873</v>
      </c>
      <c r="C140" s="17">
        <f t="shared" si="36"/>
        <v>5.833129486508115</v>
      </c>
      <c r="D140" s="2">
        <f t="shared" si="46"/>
        <v>15.15924587286474</v>
      </c>
      <c r="E140" s="5">
        <f t="shared" si="47"/>
        <v>245.09004734883388</v>
      </c>
      <c r="F140" s="3">
        <f t="shared" si="28"/>
        <v>1.4087153367289353</v>
      </c>
      <c r="G140" s="2">
        <f t="shared" si="43"/>
        <v>2.393848065043408E-15</v>
      </c>
      <c r="H140" s="2">
        <f t="shared" si="27"/>
        <v>2.442041759160439E-16</v>
      </c>
      <c r="I140" s="1">
        <f t="shared" si="29"/>
        <v>3.1973031908242944</v>
      </c>
      <c r="J140" s="5">
        <f t="shared" si="48"/>
        <v>17156.303314418372</v>
      </c>
      <c r="K140" s="1">
        <f t="shared" si="49"/>
        <v>1.411979348709814E-13</v>
      </c>
    </row>
    <row r="141" spans="1:11" ht="12.75">
      <c r="A141">
        <f t="shared" si="44"/>
        <v>5.999999999999987</v>
      </c>
      <c r="B141" s="2">
        <f t="shared" si="45"/>
        <v>2.6076422056485873</v>
      </c>
      <c r="C141" s="17">
        <f t="shared" si="36"/>
        <v>5.833129486508115</v>
      </c>
      <c r="D141" s="2">
        <f t="shared" si="46"/>
        <v>15.28962798314717</v>
      </c>
      <c r="E141" s="5">
        <f t="shared" si="47"/>
        <v>245.09004734883388</v>
      </c>
      <c r="F141" s="3">
        <f t="shared" si="28"/>
        <v>1.4087153367289353</v>
      </c>
      <c r="G141" s="2">
        <f t="shared" si="43"/>
        <v>2.393848065043408E-15</v>
      </c>
      <c r="H141" s="2">
        <f t="shared" si="27"/>
        <v>2.442041759160439E-16</v>
      </c>
      <c r="I141" s="1">
        <f t="shared" si="29"/>
        <v>3.1973031908242944</v>
      </c>
      <c r="J141" s="5">
        <f t="shared" si="48"/>
        <v>17156.303314418372</v>
      </c>
      <c r="K141" s="1">
        <f t="shared" si="49"/>
        <v>1.411979348709814E-13</v>
      </c>
    </row>
    <row r="142" spans="1:11" ht="12.75">
      <c r="A142">
        <f t="shared" si="44"/>
        <v>6.0499999999999865</v>
      </c>
      <c r="B142" s="2">
        <f t="shared" si="45"/>
        <v>2.6076422056485873</v>
      </c>
      <c r="C142" s="17">
        <f t="shared" si="36"/>
        <v>5.833129486508115</v>
      </c>
      <c r="D142" s="2">
        <f t="shared" si="46"/>
        <v>15.4200100934296</v>
      </c>
      <c r="E142" s="5">
        <f t="shared" si="47"/>
        <v>245.09004734883388</v>
      </c>
      <c r="F142" s="3">
        <f t="shared" si="28"/>
        <v>1.4087153367289353</v>
      </c>
      <c r="G142" s="2">
        <f t="shared" si="43"/>
        <v>2.393848065043408E-15</v>
      </c>
      <c r="H142" s="2">
        <f t="shared" si="27"/>
        <v>2.442041759160439E-16</v>
      </c>
      <c r="I142" s="1">
        <f t="shared" si="29"/>
        <v>3.1973031908242944</v>
      </c>
      <c r="J142" s="5">
        <f t="shared" si="48"/>
        <v>17156.303314418372</v>
      </c>
      <c r="K142" s="1">
        <f t="shared" si="49"/>
        <v>1.411979348709814E-13</v>
      </c>
    </row>
    <row r="143" spans="1:11" ht="12.75">
      <c r="A143">
        <f t="shared" si="44"/>
        <v>6.099999999999986</v>
      </c>
      <c r="B143" s="2">
        <f t="shared" si="45"/>
        <v>2.6076422056485873</v>
      </c>
      <c r="C143" s="17">
        <f t="shared" si="36"/>
        <v>5.833129486508115</v>
      </c>
      <c r="D143" s="2">
        <f t="shared" si="46"/>
        <v>15.550392203712029</v>
      </c>
      <c r="E143" s="5">
        <f t="shared" si="47"/>
        <v>245.09004734883388</v>
      </c>
      <c r="F143" s="3">
        <f t="shared" si="28"/>
        <v>1.4087153367289353</v>
      </c>
      <c r="G143" s="2">
        <f t="shared" si="43"/>
        <v>2.393848065043408E-15</v>
      </c>
      <c r="H143" s="2">
        <f t="shared" si="27"/>
        <v>2.442041759160439E-16</v>
      </c>
      <c r="I143" s="1">
        <f t="shared" si="29"/>
        <v>3.1973031908242944</v>
      </c>
      <c r="J143" s="5">
        <f t="shared" si="48"/>
        <v>17156.303314418372</v>
      </c>
      <c r="K143" s="1">
        <f t="shared" si="49"/>
        <v>1.411979348709814E-13</v>
      </c>
    </row>
    <row r="144" spans="1:11" ht="12.75">
      <c r="A144">
        <f t="shared" si="44"/>
        <v>6.149999999999986</v>
      </c>
      <c r="B144" s="2">
        <f t="shared" si="45"/>
        <v>2.6076422056485873</v>
      </c>
      <c r="C144" s="17">
        <f t="shared" si="36"/>
        <v>5.833129486508115</v>
      </c>
      <c r="D144" s="2">
        <f t="shared" si="46"/>
        <v>15.680774313994458</v>
      </c>
      <c r="E144" s="5">
        <f t="shared" si="47"/>
        <v>245.09004734883388</v>
      </c>
      <c r="F144" s="3">
        <f t="shared" si="28"/>
        <v>1.4087153367289353</v>
      </c>
      <c r="G144" s="2">
        <f t="shared" si="43"/>
        <v>2.393848065043408E-15</v>
      </c>
      <c r="H144" s="2">
        <f t="shared" si="27"/>
        <v>2.442041759160439E-16</v>
      </c>
      <c r="I144" s="1">
        <f t="shared" si="29"/>
        <v>3.1973031908242944</v>
      </c>
      <c r="J144" s="5">
        <f t="shared" si="48"/>
        <v>17156.303314418372</v>
      </c>
      <c r="K144" s="1">
        <f t="shared" si="49"/>
        <v>1.411979348709814E-13</v>
      </c>
    </row>
    <row r="145" spans="1:11" ht="12.75">
      <c r="A145">
        <f t="shared" si="44"/>
        <v>6.199999999999986</v>
      </c>
      <c r="B145" s="2">
        <f t="shared" si="45"/>
        <v>2.6076422056485873</v>
      </c>
      <c r="C145" s="17">
        <f t="shared" si="36"/>
        <v>5.833129486508115</v>
      </c>
      <c r="D145" s="2">
        <f t="shared" si="46"/>
        <v>15.811156424276888</v>
      </c>
      <c r="E145" s="5">
        <f t="shared" si="47"/>
        <v>245.09004734883388</v>
      </c>
      <c r="F145" s="3">
        <f t="shared" si="28"/>
        <v>1.4087153367289353</v>
      </c>
      <c r="G145" s="2">
        <f t="shared" si="43"/>
        <v>2.393848065043408E-15</v>
      </c>
      <c r="H145" s="2">
        <f t="shared" si="27"/>
        <v>2.442041759160439E-16</v>
      </c>
      <c r="I145" s="1">
        <f t="shared" si="29"/>
        <v>3.1973031908242944</v>
      </c>
      <c r="J145" s="5">
        <f t="shared" si="48"/>
        <v>17156.303314418372</v>
      </c>
      <c r="K145" s="1">
        <f t="shared" si="49"/>
        <v>1.411979348709814E-13</v>
      </c>
    </row>
    <row r="146" spans="1:11" ht="12.75">
      <c r="A146">
        <f t="shared" si="44"/>
        <v>6.249999999999986</v>
      </c>
      <c r="B146" s="2">
        <f t="shared" si="45"/>
        <v>2.6076422056485873</v>
      </c>
      <c r="C146" s="17">
        <f t="shared" si="36"/>
        <v>5.833129486508115</v>
      </c>
      <c r="D146" s="2">
        <f t="shared" si="46"/>
        <v>15.941538534559317</v>
      </c>
      <c r="E146" s="5">
        <f t="shared" si="47"/>
        <v>245.09004734883388</v>
      </c>
      <c r="F146" s="3">
        <f t="shared" si="28"/>
        <v>1.4087153367289353</v>
      </c>
      <c r="G146" s="2">
        <f t="shared" si="43"/>
        <v>2.393848065043408E-15</v>
      </c>
      <c r="H146" s="2">
        <f t="shared" si="27"/>
        <v>2.442041759160439E-16</v>
      </c>
      <c r="I146" s="1">
        <f t="shared" si="29"/>
        <v>3.1973031908242944</v>
      </c>
      <c r="J146" s="5">
        <f t="shared" si="48"/>
        <v>17156.303314418372</v>
      </c>
      <c r="K146" s="1">
        <f t="shared" si="49"/>
        <v>1.411979348709814E-13</v>
      </c>
    </row>
    <row r="147" spans="1:11" ht="12.75">
      <c r="A147">
        <f t="shared" si="44"/>
        <v>6.299999999999986</v>
      </c>
      <c r="B147" s="2">
        <f t="shared" si="45"/>
        <v>2.6076422056485873</v>
      </c>
      <c r="C147" s="17">
        <f t="shared" si="36"/>
        <v>5.833129486508115</v>
      </c>
      <c r="D147" s="2">
        <f t="shared" si="46"/>
        <v>16.071920644841747</v>
      </c>
      <c r="E147" s="5">
        <f t="shared" si="47"/>
        <v>245.09004734883388</v>
      </c>
      <c r="F147" s="3">
        <f t="shared" si="28"/>
        <v>1.4087153367289353</v>
      </c>
      <c r="G147" s="2">
        <f t="shared" si="43"/>
        <v>2.393848065043408E-15</v>
      </c>
      <c r="H147" s="2">
        <f t="shared" si="27"/>
        <v>2.442041759160439E-16</v>
      </c>
      <c r="I147" s="1">
        <f t="shared" si="29"/>
        <v>3.1973031908242944</v>
      </c>
      <c r="J147" s="5">
        <f t="shared" si="48"/>
        <v>17156.303314418372</v>
      </c>
      <c r="K147" s="1">
        <f t="shared" si="49"/>
        <v>1.411979348709814E-13</v>
      </c>
    </row>
    <row r="148" spans="1:11" ht="12.75">
      <c r="A148">
        <f t="shared" si="44"/>
        <v>6.349999999999985</v>
      </c>
      <c r="B148" s="2">
        <f t="shared" si="45"/>
        <v>2.6076422056485873</v>
      </c>
      <c r="C148" s="17">
        <f t="shared" si="36"/>
        <v>5.833129486508115</v>
      </c>
      <c r="D148" s="2">
        <f t="shared" si="46"/>
        <v>16.202302755124176</v>
      </c>
      <c r="E148" s="5">
        <f t="shared" si="47"/>
        <v>245.09004734883388</v>
      </c>
      <c r="F148" s="3">
        <f t="shared" si="28"/>
        <v>1.4087153367289353</v>
      </c>
      <c r="G148" s="2">
        <f t="shared" si="43"/>
        <v>2.393848065043408E-15</v>
      </c>
      <c r="H148" s="2">
        <f t="shared" si="27"/>
        <v>2.442041759160439E-16</v>
      </c>
      <c r="I148" s="1">
        <f t="shared" si="29"/>
        <v>3.1973031908242944</v>
      </c>
      <c r="J148" s="5">
        <f t="shared" si="48"/>
        <v>17156.303314418372</v>
      </c>
      <c r="K148" s="1">
        <f t="shared" si="49"/>
        <v>1.411979348709814E-13</v>
      </c>
    </row>
    <row r="149" spans="1:11" ht="12.75">
      <c r="A149">
        <f t="shared" si="44"/>
        <v>6.399999999999985</v>
      </c>
      <c r="B149" s="2">
        <f t="shared" si="45"/>
        <v>2.6076422056485873</v>
      </c>
      <c r="C149" s="17">
        <f t="shared" si="36"/>
        <v>5.833129486508115</v>
      </c>
      <c r="D149" s="2">
        <f t="shared" si="46"/>
        <v>16.332684865406605</v>
      </c>
      <c r="E149" s="5">
        <f t="shared" si="47"/>
        <v>245.09004734883388</v>
      </c>
      <c r="F149" s="3">
        <f t="shared" si="28"/>
        <v>1.4087153367289353</v>
      </c>
      <c r="G149" s="2">
        <f t="shared" si="43"/>
        <v>2.393848065043408E-15</v>
      </c>
      <c r="H149" s="2">
        <f aca="true" t="shared" si="50" ref="H149:H177">G149/9.80265</f>
        <v>2.442041759160439E-16</v>
      </c>
      <c r="I149" s="1">
        <f t="shared" si="29"/>
        <v>3.1973031908242944</v>
      </c>
      <c r="J149" s="5">
        <f t="shared" si="48"/>
        <v>17156.303314418372</v>
      </c>
      <c r="K149" s="1">
        <f t="shared" si="49"/>
        <v>1.411979348709814E-13</v>
      </c>
    </row>
    <row r="150" spans="1:11" ht="12.75">
      <c r="A150">
        <f t="shared" si="44"/>
        <v>6.449999999999985</v>
      </c>
      <c r="B150" s="2">
        <f t="shared" si="45"/>
        <v>2.6076422056485873</v>
      </c>
      <c r="C150" s="17">
        <f t="shared" si="36"/>
        <v>5.833129486508115</v>
      </c>
      <c r="D150" s="2">
        <f t="shared" si="46"/>
        <v>16.463066975689035</v>
      </c>
      <c r="E150" s="5">
        <f t="shared" si="47"/>
        <v>245.09004734883388</v>
      </c>
      <c r="F150" s="3">
        <f aca="true" t="shared" si="51" ref="F150:F177">($N$6-($N$6-$N$11)/($M$11-$M$6)*B150*$A$7/$A$6/$A$14*$A$5-$A$11)*$A$10*$A$5</f>
        <v>1.4087153367289353</v>
      </c>
      <c r="G150" s="2">
        <f t="shared" si="43"/>
        <v>2.393848065043408E-15</v>
      </c>
      <c r="H150" s="2">
        <f t="shared" si="50"/>
        <v>2.442041759160439E-16</v>
      </c>
      <c r="I150" s="1">
        <f aca="true" t="shared" si="52" ref="I150:I177">F150/$A$10/$A$5*(P$6-P$11)/(N$6-N$11)</f>
        <v>3.1973031908242944</v>
      </c>
      <c r="J150" s="5">
        <f t="shared" si="48"/>
        <v>17156.303314418372</v>
      </c>
      <c r="K150" s="1">
        <f t="shared" si="49"/>
        <v>1.411979348709814E-13</v>
      </c>
    </row>
    <row r="151" spans="1:11" ht="12.75">
      <c r="A151">
        <f t="shared" si="44"/>
        <v>6.499999999999985</v>
      </c>
      <c r="B151" s="2">
        <f t="shared" si="45"/>
        <v>2.6076422056485873</v>
      </c>
      <c r="C151" s="17">
        <f t="shared" si="36"/>
        <v>5.833129486508115</v>
      </c>
      <c r="D151" s="2">
        <f t="shared" si="46"/>
        <v>16.593449085971464</v>
      </c>
      <c r="E151" s="5">
        <f t="shared" si="47"/>
        <v>245.09004734883388</v>
      </c>
      <c r="F151" s="3">
        <f t="shared" si="51"/>
        <v>1.4087153367289353</v>
      </c>
      <c r="G151" s="2">
        <f t="shared" si="43"/>
        <v>2.393848065043408E-15</v>
      </c>
      <c r="H151" s="2">
        <f t="shared" si="50"/>
        <v>2.442041759160439E-16</v>
      </c>
      <c r="I151" s="1">
        <f t="shared" si="52"/>
        <v>3.1973031908242944</v>
      </c>
      <c r="J151" s="5">
        <f t="shared" si="48"/>
        <v>17156.303314418372</v>
      </c>
      <c r="K151" s="1">
        <f t="shared" si="49"/>
        <v>1.411979348709814E-13</v>
      </c>
    </row>
    <row r="152" spans="1:11" ht="12.75">
      <c r="A152">
        <f t="shared" si="44"/>
        <v>6.549999999999985</v>
      </c>
      <c r="B152" s="2">
        <f t="shared" si="45"/>
        <v>2.6076422056485873</v>
      </c>
      <c r="C152" s="17">
        <f t="shared" si="36"/>
        <v>5.833129486508115</v>
      </c>
      <c r="D152" s="2">
        <f t="shared" si="46"/>
        <v>16.723831196253894</v>
      </c>
      <c r="E152" s="5">
        <f t="shared" si="47"/>
        <v>245.09004734883388</v>
      </c>
      <c r="F152" s="3">
        <f t="shared" si="51"/>
        <v>1.4087153367289353</v>
      </c>
      <c r="G152" s="2">
        <f t="shared" si="43"/>
        <v>2.393848065043408E-15</v>
      </c>
      <c r="H152" s="2">
        <f t="shared" si="50"/>
        <v>2.442041759160439E-16</v>
      </c>
      <c r="I152" s="1">
        <f t="shared" si="52"/>
        <v>3.1973031908242944</v>
      </c>
      <c r="J152" s="5">
        <f t="shared" si="48"/>
        <v>17156.303314418372</v>
      </c>
      <c r="K152" s="1">
        <f t="shared" si="49"/>
        <v>1.411979348709814E-13</v>
      </c>
    </row>
    <row r="153" spans="1:11" ht="12.75">
      <c r="A153">
        <f t="shared" si="44"/>
        <v>6.5999999999999845</v>
      </c>
      <c r="B153" s="2">
        <f t="shared" si="45"/>
        <v>2.6076422056485873</v>
      </c>
      <c r="C153" s="17">
        <f t="shared" si="36"/>
        <v>5.833129486508115</v>
      </c>
      <c r="D153" s="2">
        <f t="shared" si="46"/>
        <v>16.854213306536323</v>
      </c>
      <c r="E153" s="5">
        <f t="shared" si="47"/>
        <v>245.09004734883388</v>
      </c>
      <c r="F153" s="3">
        <f t="shared" si="51"/>
        <v>1.4087153367289353</v>
      </c>
      <c r="G153" s="2">
        <f t="shared" si="43"/>
        <v>2.393848065043408E-15</v>
      </c>
      <c r="H153" s="2">
        <f t="shared" si="50"/>
        <v>2.442041759160439E-16</v>
      </c>
      <c r="I153" s="1">
        <f t="shared" si="52"/>
        <v>3.1973031908242944</v>
      </c>
      <c r="J153" s="5">
        <f t="shared" si="48"/>
        <v>17156.303314418372</v>
      </c>
      <c r="K153" s="1">
        <f t="shared" si="49"/>
        <v>1.411979348709814E-13</v>
      </c>
    </row>
    <row r="154" spans="1:11" ht="12.75">
      <c r="A154">
        <f t="shared" si="44"/>
        <v>6.649999999999984</v>
      </c>
      <c r="B154" s="2">
        <f t="shared" si="45"/>
        <v>2.6076422056485873</v>
      </c>
      <c r="C154" s="17">
        <f t="shared" si="36"/>
        <v>5.833129486508115</v>
      </c>
      <c r="D154" s="2">
        <f t="shared" si="46"/>
        <v>16.984595416818753</v>
      </c>
      <c r="E154" s="5">
        <f t="shared" si="47"/>
        <v>245.09004734883388</v>
      </c>
      <c r="F154" s="3">
        <f t="shared" si="51"/>
        <v>1.4087153367289353</v>
      </c>
      <c r="G154" s="2">
        <f t="shared" si="43"/>
        <v>2.393848065043408E-15</v>
      </c>
      <c r="H154" s="2">
        <f t="shared" si="50"/>
        <v>2.442041759160439E-16</v>
      </c>
      <c r="I154" s="1">
        <f t="shared" si="52"/>
        <v>3.1973031908242944</v>
      </c>
      <c r="J154" s="5">
        <f t="shared" si="48"/>
        <v>17156.303314418372</v>
      </c>
      <c r="K154" s="1">
        <f t="shared" si="49"/>
        <v>1.411979348709814E-13</v>
      </c>
    </row>
    <row r="155" spans="1:11" ht="12.75">
      <c r="A155">
        <f t="shared" si="44"/>
        <v>6.699999999999984</v>
      </c>
      <c r="B155" s="2">
        <f t="shared" si="45"/>
        <v>2.6076422056485873</v>
      </c>
      <c r="C155" s="17">
        <f t="shared" si="36"/>
        <v>5.833129486508115</v>
      </c>
      <c r="D155" s="2">
        <f t="shared" si="46"/>
        <v>17.114977527101182</v>
      </c>
      <c r="E155" s="5">
        <f t="shared" si="47"/>
        <v>245.09004734883388</v>
      </c>
      <c r="F155" s="3">
        <f t="shared" si="51"/>
        <v>1.4087153367289353</v>
      </c>
      <c r="G155" s="2">
        <f t="shared" si="43"/>
        <v>2.393848065043408E-15</v>
      </c>
      <c r="H155" s="2">
        <f t="shared" si="50"/>
        <v>2.442041759160439E-16</v>
      </c>
      <c r="I155" s="1">
        <f t="shared" si="52"/>
        <v>3.1973031908242944</v>
      </c>
      <c r="J155" s="5">
        <f t="shared" si="48"/>
        <v>17156.303314418372</v>
      </c>
      <c r="K155" s="1">
        <f t="shared" si="49"/>
        <v>1.411979348709814E-13</v>
      </c>
    </row>
    <row r="156" spans="1:11" ht="12.75">
      <c r="A156">
        <f t="shared" si="44"/>
        <v>6.749999999999984</v>
      </c>
      <c r="B156" s="2">
        <f t="shared" si="45"/>
        <v>2.6076422056485873</v>
      </c>
      <c r="C156" s="17">
        <f t="shared" si="36"/>
        <v>5.833129486508115</v>
      </c>
      <c r="D156" s="2">
        <f t="shared" si="46"/>
        <v>17.24535963738361</v>
      </c>
      <c r="E156" s="5">
        <f t="shared" si="47"/>
        <v>245.09004734883388</v>
      </c>
      <c r="F156" s="3">
        <f t="shared" si="51"/>
        <v>1.4087153367289353</v>
      </c>
      <c r="G156" s="2">
        <f t="shared" si="43"/>
        <v>2.393848065043408E-15</v>
      </c>
      <c r="H156" s="2">
        <f t="shared" si="50"/>
        <v>2.442041759160439E-16</v>
      </c>
      <c r="I156" s="1">
        <f t="shared" si="52"/>
        <v>3.1973031908242944</v>
      </c>
      <c r="J156" s="5">
        <f t="shared" si="48"/>
        <v>17156.303314418372</v>
      </c>
      <c r="K156" s="1">
        <f t="shared" si="49"/>
        <v>1.411979348709814E-13</v>
      </c>
    </row>
    <row r="157" spans="1:11" ht="12.75">
      <c r="A157">
        <f t="shared" si="44"/>
        <v>6.799999999999984</v>
      </c>
      <c r="B157" s="2">
        <f t="shared" si="45"/>
        <v>2.6076422056485873</v>
      </c>
      <c r="C157" s="17">
        <f t="shared" si="36"/>
        <v>5.833129486508115</v>
      </c>
      <c r="D157" s="2">
        <f t="shared" si="46"/>
        <v>17.37574174766604</v>
      </c>
      <c r="E157" s="5">
        <f t="shared" si="47"/>
        <v>245.09004734883388</v>
      </c>
      <c r="F157" s="3">
        <f t="shared" si="51"/>
        <v>1.4087153367289353</v>
      </c>
      <c r="G157" s="2">
        <f t="shared" si="43"/>
        <v>2.393848065043408E-15</v>
      </c>
      <c r="H157" s="2">
        <f t="shared" si="50"/>
        <v>2.442041759160439E-16</v>
      </c>
      <c r="I157" s="1">
        <f t="shared" si="52"/>
        <v>3.1973031908242944</v>
      </c>
      <c r="J157" s="5">
        <f t="shared" si="48"/>
        <v>17156.303314418372</v>
      </c>
      <c r="K157" s="1">
        <f t="shared" si="49"/>
        <v>1.411979348709814E-13</v>
      </c>
    </row>
    <row r="158" spans="1:11" ht="12.75">
      <c r="A158">
        <f t="shared" si="44"/>
        <v>6.849999999999984</v>
      </c>
      <c r="B158" s="2">
        <f t="shared" si="45"/>
        <v>2.6076422056485873</v>
      </c>
      <c r="C158" s="17">
        <f t="shared" si="36"/>
        <v>5.833129486508115</v>
      </c>
      <c r="D158" s="2">
        <f t="shared" si="46"/>
        <v>17.50612385794847</v>
      </c>
      <c r="E158" s="5">
        <f t="shared" si="47"/>
        <v>245.09004734883388</v>
      </c>
      <c r="F158" s="3">
        <f t="shared" si="51"/>
        <v>1.4087153367289353</v>
      </c>
      <c r="G158" s="2">
        <f t="shared" si="43"/>
        <v>2.393848065043408E-15</v>
      </c>
      <c r="H158" s="2">
        <f t="shared" si="50"/>
        <v>2.442041759160439E-16</v>
      </c>
      <c r="I158" s="1">
        <f t="shared" si="52"/>
        <v>3.1973031908242944</v>
      </c>
      <c r="J158" s="5">
        <f t="shared" si="48"/>
        <v>17156.303314418372</v>
      </c>
      <c r="K158" s="1">
        <f t="shared" si="49"/>
        <v>1.411979348709814E-13</v>
      </c>
    </row>
    <row r="159" spans="1:11" ht="12.75">
      <c r="A159">
        <f t="shared" si="44"/>
        <v>6.8999999999999835</v>
      </c>
      <c r="B159" s="2">
        <f t="shared" si="45"/>
        <v>2.6076422056485873</v>
      </c>
      <c r="C159" s="17">
        <f t="shared" si="36"/>
        <v>5.833129486508115</v>
      </c>
      <c r="D159" s="2">
        <f t="shared" si="46"/>
        <v>17.6365059682309</v>
      </c>
      <c r="E159" s="5">
        <f t="shared" si="47"/>
        <v>245.09004734883388</v>
      </c>
      <c r="F159" s="3">
        <f t="shared" si="51"/>
        <v>1.4087153367289353</v>
      </c>
      <c r="G159" s="2">
        <f t="shared" si="43"/>
        <v>2.393848065043408E-15</v>
      </c>
      <c r="H159" s="2">
        <f t="shared" si="50"/>
        <v>2.442041759160439E-16</v>
      </c>
      <c r="I159" s="1">
        <f t="shared" si="52"/>
        <v>3.1973031908242944</v>
      </c>
      <c r="J159" s="5">
        <f t="shared" si="48"/>
        <v>17156.303314418372</v>
      </c>
      <c r="K159" s="1">
        <f t="shared" si="49"/>
        <v>1.411979348709814E-13</v>
      </c>
    </row>
    <row r="160" spans="1:11" ht="12.75">
      <c r="A160">
        <f t="shared" si="44"/>
        <v>6.949999999999983</v>
      </c>
      <c r="B160" s="2">
        <f t="shared" si="45"/>
        <v>2.6076422056485873</v>
      </c>
      <c r="C160" s="17">
        <f t="shared" si="36"/>
        <v>5.833129486508115</v>
      </c>
      <c r="D160" s="2">
        <f t="shared" si="46"/>
        <v>17.76688807851333</v>
      </c>
      <c r="E160" s="5">
        <f t="shared" si="47"/>
        <v>245.09004734883388</v>
      </c>
      <c r="F160" s="3">
        <f t="shared" si="51"/>
        <v>1.4087153367289353</v>
      </c>
      <c r="G160" s="2">
        <f t="shared" si="43"/>
        <v>2.393848065043408E-15</v>
      </c>
      <c r="H160" s="2">
        <f t="shared" si="50"/>
        <v>2.442041759160439E-16</v>
      </c>
      <c r="I160" s="1">
        <f t="shared" si="52"/>
        <v>3.1973031908242944</v>
      </c>
      <c r="J160" s="5">
        <f t="shared" si="48"/>
        <v>17156.303314418372</v>
      </c>
      <c r="K160" s="1">
        <f t="shared" si="49"/>
        <v>1.411979348709814E-13</v>
      </c>
    </row>
    <row r="161" spans="1:11" ht="12.75">
      <c r="A161">
        <f t="shared" si="44"/>
        <v>6.999999999999983</v>
      </c>
      <c r="B161" s="2">
        <f t="shared" si="45"/>
        <v>2.6076422056485873</v>
      </c>
      <c r="C161" s="17">
        <f t="shared" si="36"/>
        <v>5.833129486508115</v>
      </c>
      <c r="D161" s="2">
        <f t="shared" si="46"/>
        <v>17.89727018879576</v>
      </c>
      <c r="E161" s="5">
        <f t="shared" si="47"/>
        <v>245.09004734883388</v>
      </c>
      <c r="F161" s="3">
        <f t="shared" si="51"/>
        <v>1.4087153367289353</v>
      </c>
      <c r="G161" s="2">
        <f t="shared" si="43"/>
        <v>2.393848065043408E-15</v>
      </c>
      <c r="H161" s="2">
        <f t="shared" si="50"/>
        <v>2.442041759160439E-16</v>
      </c>
      <c r="I161" s="1">
        <f t="shared" si="52"/>
        <v>3.1973031908242944</v>
      </c>
      <c r="J161" s="5">
        <f t="shared" si="48"/>
        <v>17156.303314418372</v>
      </c>
      <c r="K161" s="1">
        <f t="shared" si="49"/>
        <v>1.411979348709814E-13</v>
      </c>
    </row>
    <row r="162" spans="1:11" ht="12.75">
      <c r="A162">
        <f t="shared" si="44"/>
        <v>7.049999999999983</v>
      </c>
      <c r="B162" s="2">
        <f t="shared" si="45"/>
        <v>2.6076422056485873</v>
      </c>
      <c r="C162" s="17">
        <f t="shared" si="36"/>
        <v>5.833129486508115</v>
      </c>
      <c r="D162" s="2">
        <f t="shared" si="46"/>
        <v>18.027652299078188</v>
      </c>
      <c r="E162" s="5">
        <f t="shared" si="47"/>
        <v>245.09004734883388</v>
      </c>
      <c r="F162" s="3">
        <f t="shared" si="51"/>
        <v>1.4087153367289353</v>
      </c>
      <c r="G162" s="2">
        <f t="shared" si="43"/>
        <v>2.393848065043408E-15</v>
      </c>
      <c r="H162" s="2">
        <f t="shared" si="50"/>
        <v>2.442041759160439E-16</v>
      </c>
      <c r="I162" s="1">
        <f t="shared" si="52"/>
        <v>3.1973031908242944</v>
      </c>
      <c r="J162" s="5">
        <f t="shared" si="48"/>
        <v>17156.303314418372</v>
      </c>
      <c r="K162" s="1">
        <f t="shared" si="49"/>
        <v>1.411979348709814E-13</v>
      </c>
    </row>
    <row r="163" spans="1:11" ht="12.75">
      <c r="A163">
        <f t="shared" si="44"/>
        <v>7.099999999999983</v>
      </c>
      <c r="B163" s="2">
        <f t="shared" si="45"/>
        <v>2.6076422056485873</v>
      </c>
      <c r="C163" s="17">
        <f t="shared" si="36"/>
        <v>5.833129486508115</v>
      </c>
      <c r="D163" s="2">
        <f t="shared" si="46"/>
        <v>18.158034409360617</v>
      </c>
      <c r="E163" s="5">
        <f t="shared" si="47"/>
        <v>245.09004734883388</v>
      </c>
      <c r="F163" s="3">
        <f t="shared" si="51"/>
        <v>1.4087153367289353</v>
      </c>
      <c r="G163" s="2">
        <f t="shared" si="43"/>
        <v>2.393848065043408E-15</v>
      </c>
      <c r="H163" s="2">
        <f t="shared" si="50"/>
        <v>2.442041759160439E-16</v>
      </c>
      <c r="I163" s="1">
        <f t="shared" si="52"/>
        <v>3.1973031908242944</v>
      </c>
      <c r="J163" s="5">
        <f t="shared" si="48"/>
        <v>17156.303314418372</v>
      </c>
      <c r="K163" s="1">
        <f t="shared" si="49"/>
        <v>1.411979348709814E-13</v>
      </c>
    </row>
    <row r="164" spans="1:11" ht="12.75">
      <c r="A164">
        <f t="shared" si="44"/>
        <v>7.149999999999983</v>
      </c>
      <c r="B164" s="2">
        <f t="shared" si="45"/>
        <v>2.6076422056485873</v>
      </c>
      <c r="C164" s="17">
        <f t="shared" si="36"/>
        <v>5.833129486508115</v>
      </c>
      <c r="D164" s="2">
        <f t="shared" si="46"/>
        <v>18.288416519643047</v>
      </c>
      <c r="E164" s="5">
        <f t="shared" si="47"/>
        <v>245.09004734883388</v>
      </c>
      <c r="F164" s="3">
        <f t="shared" si="51"/>
        <v>1.4087153367289353</v>
      </c>
      <c r="G164" s="2">
        <f t="shared" si="43"/>
        <v>2.393848065043408E-15</v>
      </c>
      <c r="H164" s="2">
        <f t="shared" si="50"/>
        <v>2.442041759160439E-16</v>
      </c>
      <c r="I164" s="1">
        <f t="shared" si="52"/>
        <v>3.1973031908242944</v>
      </c>
      <c r="J164" s="5">
        <f t="shared" si="48"/>
        <v>17156.303314418372</v>
      </c>
      <c r="K164" s="1">
        <f t="shared" si="49"/>
        <v>1.411979348709814E-13</v>
      </c>
    </row>
    <row r="165" spans="1:11" ht="12.75">
      <c r="A165">
        <f t="shared" si="44"/>
        <v>7.199999999999982</v>
      </c>
      <c r="B165" s="2">
        <f t="shared" si="45"/>
        <v>2.6076422056485873</v>
      </c>
      <c r="C165" s="17">
        <f t="shared" si="36"/>
        <v>5.833129486508115</v>
      </c>
      <c r="D165" s="2">
        <f t="shared" si="46"/>
        <v>18.418798629925476</v>
      </c>
      <c r="E165" s="5">
        <f t="shared" si="47"/>
        <v>245.09004734883388</v>
      </c>
      <c r="F165" s="3">
        <f t="shared" si="51"/>
        <v>1.4087153367289353</v>
      </c>
      <c r="G165" s="2">
        <f t="shared" si="43"/>
        <v>2.393848065043408E-15</v>
      </c>
      <c r="H165" s="2">
        <f t="shared" si="50"/>
        <v>2.442041759160439E-16</v>
      </c>
      <c r="I165" s="1">
        <f t="shared" si="52"/>
        <v>3.1973031908242944</v>
      </c>
      <c r="J165" s="5">
        <f t="shared" si="48"/>
        <v>17156.303314418372</v>
      </c>
      <c r="K165" s="1">
        <f t="shared" si="49"/>
        <v>1.411979348709814E-13</v>
      </c>
    </row>
    <row r="166" spans="1:11" ht="12.75">
      <c r="A166">
        <f t="shared" si="44"/>
        <v>7.249999999999982</v>
      </c>
      <c r="B166" s="2">
        <f t="shared" si="45"/>
        <v>2.6076422056485873</v>
      </c>
      <c r="C166" s="17">
        <f aca="true" t="shared" si="53" ref="C166:C177">B166*3600/(0.0254*12*5280)</f>
        <v>5.833129486508115</v>
      </c>
      <c r="D166" s="2">
        <f t="shared" si="46"/>
        <v>18.549180740207905</v>
      </c>
      <c r="E166" s="5">
        <f t="shared" si="47"/>
        <v>245.09004734883388</v>
      </c>
      <c r="F166" s="3">
        <f t="shared" si="51"/>
        <v>1.4087153367289353</v>
      </c>
      <c r="G166" s="2">
        <f t="shared" si="43"/>
        <v>2.393848065043408E-15</v>
      </c>
      <c r="H166" s="2">
        <f t="shared" si="50"/>
        <v>2.442041759160439E-16</v>
      </c>
      <c r="I166" s="1">
        <f t="shared" si="52"/>
        <v>3.1973031908242944</v>
      </c>
      <c r="J166" s="5">
        <f t="shared" si="48"/>
        <v>17156.303314418372</v>
      </c>
      <c r="K166" s="1">
        <f t="shared" si="49"/>
        <v>1.411979348709814E-13</v>
      </c>
    </row>
    <row r="167" spans="1:11" ht="12.75">
      <c r="A167">
        <f t="shared" si="44"/>
        <v>7.299999999999982</v>
      </c>
      <c r="B167" s="2">
        <f t="shared" si="45"/>
        <v>2.6076422056485873</v>
      </c>
      <c r="C167" s="17">
        <f t="shared" si="53"/>
        <v>5.833129486508115</v>
      </c>
      <c r="D167" s="2">
        <f t="shared" si="46"/>
        <v>18.679562850490335</v>
      </c>
      <c r="E167" s="5">
        <f t="shared" si="47"/>
        <v>245.09004734883388</v>
      </c>
      <c r="F167" s="3">
        <f t="shared" si="51"/>
        <v>1.4087153367289353</v>
      </c>
      <c r="G167" s="2">
        <f t="shared" si="43"/>
        <v>2.393848065043408E-15</v>
      </c>
      <c r="H167" s="2">
        <f t="shared" si="50"/>
        <v>2.442041759160439E-16</v>
      </c>
      <c r="I167" s="1">
        <f t="shared" si="52"/>
        <v>3.1973031908242944</v>
      </c>
      <c r="J167" s="5">
        <f t="shared" si="48"/>
        <v>17156.303314418372</v>
      </c>
      <c r="K167" s="1">
        <f t="shared" si="49"/>
        <v>1.411979348709814E-13</v>
      </c>
    </row>
    <row r="168" spans="1:11" ht="12.75">
      <c r="A168">
        <f t="shared" si="44"/>
        <v>7.349999999999982</v>
      </c>
      <c r="B168" s="2">
        <f t="shared" si="45"/>
        <v>2.6076422056485873</v>
      </c>
      <c r="C168" s="17">
        <f t="shared" si="53"/>
        <v>5.833129486508115</v>
      </c>
      <c r="D168" s="2">
        <f t="shared" si="46"/>
        <v>18.809944960772764</v>
      </c>
      <c r="E168" s="5">
        <f t="shared" si="47"/>
        <v>245.09004734883388</v>
      </c>
      <c r="F168" s="3">
        <f t="shared" si="51"/>
        <v>1.4087153367289353</v>
      </c>
      <c r="G168" s="2">
        <f t="shared" si="43"/>
        <v>2.393848065043408E-15</v>
      </c>
      <c r="H168" s="2">
        <f t="shared" si="50"/>
        <v>2.442041759160439E-16</v>
      </c>
      <c r="I168" s="1">
        <f t="shared" si="52"/>
        <v>3.1973031908242944</v>
      </c>
      <c r="J168" s="5">
        <f t="shared" si="48"/>
        <v>17156.303314418372</v>
      </c>
      <c r="K168" s="1">
        <f t="shared" si="49"/>
        <v>1.411979348709814E-13</v>
      </c>
    </row>
    <row r="169" spans="1:11" ht="12.75">
      <c r="A169">
        <f t="shared" si="44"/>
        <v>7.399999999999982</v>
      </c>
      <c r="B169" s="2">
        <f t="shared" si="45"/>
        <v>2.6076422056485873</v>
      </c>
      <c r="C169" s="17">
        <f t="shared" si="53"/>
        <v>5.833129486508115</v>
      </c>
      <c r="D169" s="2">
        <f t="shared" si="46"/>
        <v>18.940327071055194</v>
      </c>
      <c r="E169" s="5">
        <f t="shared" si="47"/>
        <v>245.09004734883388</v>
      </c>
      <c r="F169" s="3">
        <f t="shared" si="51"/>
        <v>1.4087153367289353</v>
      </c>
      <c r="G169" s="2">
        <f t="shared" si="43"/>
        <v>2.393848065043408E-15</v>
      </c>
      <c r="H169" s="2">
        <f t="shared" si="50"/>
        <v>2.442041759160439E-16</v>
      </c>
      <c r="I169" s="1">
        <f t="shared" si="52"/>
        <v>3.1973031908242944</v>
      </c>
      <c r="J169" s="5">
        <f t="shared" si="48"/>
        <v>17156.303314418372</v>
      </c>
      <c r="K169" s="1">
        <f t="shared" si="49"/>
        <v>1.411979348709814E-13</v>
      </c>
    </row>
    <row r="170" spans="1:11" ht="12.75">
      <c r="A170">
        <f t="shared" si="44"/>
        <v>7.4499999999999815</v>
      </c>
      <c r="B170" s="2">
        <f t="shared" si="45"/>
        <v>2.6076422056485873</v>
      </c>
      <c r="C170" s="17">
        <f t="shared" si="53"/>
        <v>5.833129486508115</v>
      </c>
      <c r="D170" s="2">
        <f t="shared" si="46"/>
        <v>19.070709181337623</v>
      </c>
      <c r="E170" s="5">
        <f t="shared" si="47"/>
        <v>245.09004734883388</v>
      </c>
      <c r="F170" s="3">
        <f t="shared" si="51"/>
        <v>1.4087153367289353</v>
      </c>
      <c r="G170" s="2">
        <f t="shared" si="43"/>
        <v>2.393848065043408E-15</v>
      </c>
      <c r="H170" s="2">
        <f t="shared" si="50"/>
        <v>2.442041759160439E-16</v>
      </c>
      <c r="I170" s="1">
        <f t="shared" si="52"/>
        <v>3.1973031908242944</v>
      </c>
      <c r="J170" s="5">
        <f t="shared" si="48"/>
        <v>17156.303314418372</v>
      </c>
      <c r="K170" s="1">
        <f t="shared" si="49"/>
        <v>1.411979348709814E-13</v>
      </c>
    </row>
    <row r="171" spans="1:11" ht="12.75">
      <c r="A171">
        <f t="shared" si="44"/>
        <v>7.499999999999981</v>
      </c>
      <c r="B171" s="2">
        <f t="shared" si="45"/>
        <v>2.6076422056485873</v>
      </c>
      <c r="C171" s="17">
        <f t="shared" si="53"/>
        <v>5.833129486508115</v>
      </c>
      <c r="D171" s="2">
        <f t="shared" si="46"/>
        <v>19.201091291620052</v>
      </c>
      <c r="E171" s="5">
        <f t="shared" si="47"/>
        <v>245.09004734883388</v>
      </c>
      <c r="F171" s="3">
        <f t="shared" si="51"/>
        <v>1.4087153367289353</v>
      </c>
      <c r="G171" s="2">
        <f t="shared" si="43"/>
        <v>2.393848065043408E-15</v>
      </c>
      <c r="H171" s="2">
        <f t="shared" si="50"/>
        <v>2.442041759160439E-16</v>
      </c>
      <c r="I171" s="1">
        <f t="shared" si="52"/>
        <v>3.1973031908242944</v>
      </c>
      <c r="J171" s="5">
        <f t="shared" si="48"/>
        <v>17156.303314418372</v>
      </c>
      <c r="K171" s="1">
        <f t="shared" si="49"/>
        <v>1.411979348709814E-13</v>
      </c>
    </row>
    <row r="172" spans="1:11" ht="12.75">
      <c r="A172">
        <f t="shared" si="44"/>
        <v>7.549999999999981</v>
      </c>
      <c r="B172" s="2">
        <f t="shared" si="45"/>
        <v>2.6076422056485873</v>
      </c>
      <c r="C172" s="17">
        <f t="shared" si="53"/>
        <v>5.833129486508115</v>
      </c>
      <c r="D172" s="2">
        <f t="shared" si="46"/>
        <v>19.331473401902482</v>
      </c>
      <c r="E172" s="5">
        <f t="shared" si="47"/>
        <v>245.09004734883388</v>
      </c>
      <c r="F172" s="3">
        <f t="shared" si="51"/>
        <v>1.4087153367289353</v>
      </c>
      <c r="G172" s="2">
        <f t="shared" si="43"/>
        <v>2.393848065043408E-15</v>
      </c>
      <c r="H172" s="2">
        <f t="shared" si="50"/>
        <v>2.442041759160439E-16</v>
      </c>
      <c r="I172" s="1">
        <f t="shared" si="52"/>
        <v>3.1973031908242944</v>
      </c>
      <c r="J172" s="5">
        <f t="shared" si="48"/>
        <v>17156.303314418372</v>
      </c>
      <c r="K172" s="1">
        <f t="shared" si="49"/>
        <v>1.411979348709814E-13</v>
      </c>
    </row>
    <row r="173" spans="1:11" ht="12.75">
      <c r="A173">
        <f t="shared" si="44"/>
        <v>7.599999999999981</v>
      </c>
      <c r="B173" s="2">
        <f t="shared" si="45"/>
        <v>2.6076422056485873</v>
      </c>
      <c r="C173" s="17">
        <f t="shared" si="53"/>
        <v>5.833129486508115</v>
      </c>
      <c r="D173" s="2">
        <f t="shared" si="46"/>
        <v>19.46185551218491</v>
      </c>
      <c r="E173" s="5">
        <f t="shared" si="47"/>
        <v>245.09004734883388</v>
      </c>
      <c r="F173" s="3">
        <f t="shared" si="51"/>
        <v>1.4087153367289353</v>
      </c>
      <c r="G173" s="2">
        <f t="shared" si="43"/>
        <v>2.393848065043408E-15</v>
      </c>
      <c r="H173" s="2">
        <f t="shared" si="50"/>
        <v>2.442041759160439E-16</v>
      </c>
      <c r="I173" s="1">
        <f t="shared" si="52"/>
        <v>3.1973031908242944</v>
      </c>
      <c r="J173" s="5">
        <f t="shared" si="48"/>
        <v>17156.303314418372</v>
      </c>
      <c r="K173" s="1">
        <f t="shared" si="49"/>
        <v>1.411979348709814E-13</v>
      </c>
    </row>
    <row r="174" spans="1:11" ht="12.75">
      <c r="A174">
        <f t="shared" si="44"/>
        <v>7.649999999999981</v>
      </c>
      <c r="B174" s="2">
        <f t="shared" si="45"/>
        <v>2.6076422056485873</v>
      </c>
      <c r="C174" s="17">
        <f t="shared" si="53"/>
        <v>5.833129486508115</v>
      </c>
      <c r="D174" s="2">
        <f t="shared" si="46"/>
        <v>19.59223762246734</v>
      </c>
      <c r="E174" s="5">
        <f t="shared" si="47"/>
        <v>245.09004734883388</v>
      </c>
      <c r="F174" s="3">
        <f t="shared" si="51"/>
        <v>1.4087153367289353</v>
      </c>
      <c r="G174" s="2">
        <f t="shared" si="43"/>
        <v>2.393848065043408E-15</v>
      </c>
      <c r="H174" s="2">
        <f t="shared" si="50"/>
        <v>2.442041759160439E-16</v>
      </c>
      <c r="I174" s="1">
        <f t="shared" si="52"/>
        <v>3.1973031908242944</v>
      </c>
      <c r="J174" s="5">
        <f t="shared" si="48"/>
        <v>17156.303314418372</v>
      </c>
      <c r="K174" s="1">
        <f t="shared" si="49"/>
        <v>1.411979348709814E-13</v>
      </c>
    </row>
    <row r="175" spans="1:11" ht="12.75">
      <c r="A175">
        <f t="shared" si="44"/>
        <v>7.699999999999981</v>
      </c>
      <c r="B175" s="2">
        <f t="shared" si="45"/>
        <v>2.6076422056485873</v>
      </c>
      <c r="C175" s="17">
        <f t="shared" si="53"/>
        <v>5.833129486508115</v>
      </c>
      <c r="D175" s="2">
        <f t="shared" si="46"/>
        <v>19.72261973274977</v>
      </c>
      <c r="E175" s="5">
        <f t="shared" si="47"/>
        <v>245.09004734883388</v>
      </c>
      <c r="F175" s="3">
        <f t="shared" si="51"/>
        <v>1.4087153367289353</v>
      </c>
      <c r="G175" s="2">
        <f t="shared" si="43"/>
        <v>2.393848065043408E-15</v>
      </c>
      <c r="H175" s="2">
        <f t="shared" si="50"/>
        <v>2.442041759160439E-16</v>
      </c>
      <c r="I175" s="1">
        <f t="shared" si="52"/>
        <v>3.1973031908242944</v>
      </c>
      <c r="J175" s="5">
        <f t="shared" si="48"/>
        <v>17156.303314418372</v>
      </c>
      <c r="K175" s="1">
        <f t="shared" si="49"/>
        <v>1.411979348709814E-13</v>
      </c>
    </row>
    <row r="176" spans="1:11" ht="12.75">
      <c r="A176">
        <f t="shared" si="44"/>
        <v>7.7499999999999805</v>
      </c>
      <c r="B176" s="2">
        <f t="shared" si="45"/>
        <v>2.6076422056485873</v>
      </c>
      <c r="C176" s="17">
        <f t="shared" si="53"/>
        <v>5.833129486508115</v>
      </c>
      <c r="D176" s="2">
        <f t="shared" si="46"/>
        <v>19.8530018430322</v>
      </c>
      <c r="E176" s="5">
        <f t="shared" si="47"/>
        <v>245.09004734883388</v>
      </c>
      <c r="F176" s="3">
        <f t="shared" si="51"/>
        <v>1.4087153367289353</v>
      </c>
      <c r="G176" s="2">
        <f t="shared" si="43"/>
        <v>2.393848065043408E-15</v>
      </c>
      <c r="H176" s="2">
        <f t="shared" si="50"/>
        <v>2.442041759160439E-16</v>
      </c>
      <c r="I176" s="1">
        <f t="shared" si="52"/>
        <v>3.1973031908242944</v>
      </c>
      <c r="J176" s="5">
        <f t="shared" si="48"/>
        <v>17156.303314418372</v>
      </c>
      <c r="K176" s="1">
        <f t="shared" si="49"/>
        <v>1.411979348709814E-13</v>
      </c>
    </row>
    <row r="177" spans="1:11" ht="12.75">
      <c r="A177">
        <f t="shared" si="44"/>
        <v>7.79999999999998</v>
      </c>
      <c r="B177" s="21">
        <f t="shared" si="45"/>
        <v>2.6076422056485873</v>
      </c>
      <c r="C177" s="22">
        <f t="shared" si="53"/>
        <v>5.833129486508115</v>
      </c>
      <c r="D177" s="2">
        <f t="shared" si="46"/>
        <v>19.98338395331463</v>
      </c>
      <c r="E177" s="5">
        <f t="shared" si="47"/>
        <v>245.09004734883388</v>
      </c>
      <c r="F177" s="3">
        <f t="shared" si="51"/>
        <v>1.4087153367289353</v>
      </c>
      <c r="G177" s="2">
        <f t="shared" si="43"/>
        <v>2.393848065043408E-15</v>
      </c>
      <c r="H177" s="2">
        <f t="shared" si="50"/>
        <v>2.442041759160439E-16</v>
      </c>
      <c r="I177" s="1">
        <f t="shared" si="52"/>
        <v>3.1973031908242944</v>
      </c>
      <c r="J177" s="5">
        <f t="shared" si="48"/>
        <v>17156.303314418372</v>
      </c>
      <c r="K177" s="1">
        <f t="shared" si="49"/>
        <v>1.411979348709814E-13</v>
      </c>
    </row>
    <row r="179" spans="2:3" ht="12.75">
      <c r="B179" s="1">
        <f>B177*39.4/12</f>
        <v>8.561758575212862</v>
      </c>
      <c r="C179" t="s">
        <v>71</v>
      </c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>
        <f>4.083*0.98</f>
        <v>4.00134</v>
      </c>
      <c r="C181" s="4"/>
      <c r="D181" s="4"/>
      <c r="E181" s="4"/>
      <c r="F181" s="4"/>
      <c r="G181" s="4"/>
    </row>
    <row r="182" spans="3:7" ht="12.75">
      <c r="C182" s="2"/>
      <c r="D182" s="2"/>
      <c r="E182" s="2"/>
      <c r="F182" s="1"/>
      <c r="G182" s="1"/>
    </row>
    <row r="183" spans="3:7" ht="12.75">
      <c r="C183" s="2"/>
      <c r="D183" s="2"/>
      <c r="E183" s="2"/>
      <c r="F183" s="1"/>
      <c r="G183" s="1"/>
    </row>
    <row r="184" spans="3:7" ht="12.75">
      <c r="C184" s="2"/>
      <c r="D184" s="2"/>
      <c r="E184" s="2"/>
      <c r="F184" s="1"/>
      <c r="G184" s="1"/>
    </row>
    <row r="185" spans="3:7" ht="12.75">
      <c r="C185" s="2"/>
      <c r="D185" s="2"/>
      <c r="E185" s="2"/>
      <c r="F185" s="1"/>
      <c r="G185" s="1"/>
    </row>
    <row r="186" spans="3:7" ht="12.75">
      <c r="C186" s="2"/>
      <c r="D186" s="2"/>
      <c r="E186" s="2"/>
      <c r="F186" s="1"/>
      <c r="G186" s="1"/>
    </row>
  </sheetData>
  <mergeCells count="2">
    <mergeCell ref="L2:O2"/>
    <mergeCell ref="L3:O3"/>
  </mergeCells>
  <printOptions gridLines="1"/>
  <pageMargins left="0.75" right="0.75" top="1" bottom="1" header="0.5" footer="0.5"/>
  <pageSetup fitToHeight="1" fitToWidth="1" horizontalDpi="300" verticalDpi="300" orientation="landscape" scale="7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8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8.7109375" style="0" customWidth="1"/>
    <col min="3" max="3" width="5.8515625" style="0" customWidth="1"/>
    <col min="5" max="5" width="7.8515625" style="0" customWidth="1"/>
  </cols>
  <sheetData>
    <row r="2" spans="1:5" ht="51">
      <c r="A2" s="62" t="s">
        <v>72</v>
      </c>
      <c r="B2" s="62" t="s">
        <v>73</v>
      </c>
      <c r="C2" s="62" t="s">
        <v>75</v>
      </c>
      <c r="D2" s="62" t="s">
        <v>74</v>
      </c>
      <c r="E2" s="62" t="s">
        <v>79</v>
      </c>
    </row>
    <row r="3" spans="1:5" ht="12.75">
      <c r="A3" s="63" t="s">
        <v>76</v>
      </c>
      <c r="B3" s="64">
        <v>80</v>
      </c>
      <c r="C3" s="64">
        <v>2.29</v>
      </c>
      <c r="D3" s="64">
        <v>0.45</v>
      </c>
      <c r="E3" s="64">
        <v>2.8</v>
      </c>
    </row>
    <row r="4" spans="1:5" ht="12.75">
      <c r="A4" s="65" t="s">
        <v>76</v>
      </c>
      <c r="B4" s="66">
        <v>60</v>
      </c>
      <c r="C4" s="66">
        <v>3.03</v>
      </c>
      <c r="D4" s="66">
        <v>0.9</v>
      </c>
      <c r="E4" s="66">
        <v>6.4</v>
      </c>
    </row>
    <row r="5" spans="1:5" ht="12.75">
      <c r="A5" s="67" t="s">
        <v>77</v>
      </c>
      <c r="B5" s="68">
        <v>60</v>
      </c>
      <c r="C5" s="68">
        <v>3.35</v>
      </c>
      <c r="D5" s="68">
        <v>0.53</v>
      </c>
      <c r="E5" s="68">
        <v>4.6</v>
      </c>
    </row>
    <row r="6" spans="1:5" ht="12.75">
      <c r="A6" s="69" t="s">
        <v>78</v>
      </c>
      <c r="B6" s="70">
        <v>50</v>
      </c>
      <c r="C6" s="70">
        <v>4.08</v>
      </c>
      <c r="D6" s="70">
        <v>0.66</v>
      </c>
      <c r="E6" s="70">
        <v>7.1</v>
      </c>
    </row>
    <row r="8" spans="8:12" ht="12.75">
      <c r="H8">
        <v>0</v>
      </c>
      <c r="I8" s="2">
        <v>0</v>
      </c>
      <c r="J8" s="2">
        <v>0</v>
      </c>
      <c r="K8" s="2">
        <v>0</v>
      </c>
      <c r="L8" s="2">
        <v>0</v>
      </c>
    </row>
    <row r="9" spans="8:12" ht="12.75">
      <c r="H9">
        <v>0.05</v>
      </c>
      <c r="I9" s="2">
        <v>0.8001822173327158</v>
      </c>
      <c r="J9" s="2">
        <v>0.5975624058205843</v>
      </c>
      <c r="K9" s="2">
        <v>1.0354313680456988</v>
      </c>
      <c r="L9" s="2">
        <v>1.0405989257943302</v>
      </c>
    </row>
    <row r="10" spans="8:12" ht="12.75">
      <c r="H10">
        <v>0.1</v>
      </c>
      <c r="I10" s="2">
        <v>1.320258298620136</v>
      </c>
      <c r="J10" s="2">
        <v>1.0774619190343087</v>
      </c>
      <c r="K10" s="2">
        <v>1.750775320050192</v>
      </c>
      <c r="L10" s="2">
        <v>1.8160160122655185</v>
      </c>
    </row>
    <row r="11" spans="8:12" ht="12.75">
      <c r="H11">
        <v>0.15</v>
      </c>
      <c r="I11" s="2">
        <v>1.6582802197131588</v>
      </c>
      <c r="J11" s="2">
        <v>1.4628669253390685</v>
      </c>
      <c r="K11" s="2">
        <v>2.244981875367553</v>
      </c>
      <c r="L11" s="2">
        <v>2.3938290803815474</v>
      </c>
    </row>
    <row r="12" spans="8:12" ht="12.75">
      <c r="H12">
        <v>0.2</v>
      </c>
      <c r="I12" s="2">
        <v>1.8779765742476267</v>
      </c>
      <c r="J12" s="2">
        <v>1.7723838446000817</v>
      </c>
      <c r="K12" s="2">
        <v>2.586412202183424</v>
      </c>
      <c r="L12" s="2">
        <v>2.824394704367271</v>
      </c>
    </row>
    <row r="13" spans="8:12" ht="12.75">
      <c r="H13">
        <v>0.25</v>
      </c>
      <c r="I13" s="2">
        <v>2.020767574427913</v>
      </c>
      <c r="J13" s="2">
        <v>2.0209554037174895</v>
      </c>
      <c r="K13" s="2">
        <v>2.8222946825255413</v>
      </c>
      <c r="L13" s="2">
        <v>3.1452368015574104</v>
      </c>
    </row>
    <row r="14" spans="8:12" ht="12.75">
      <c r="H14">
        <v>0.3</v>
      </c>
      <c r="I14" s="2">
        <v>2.1135741654871545</v>
      </c>
      <c r="J14" s="2">
        <v>2.220582035274758</v>
      </c>
      <c r="K14" s="2">
        <v>2.985257782643931</v>
      </c>
      <c r="L14" s="2">
        <v>3.3843168525295706</v>
      </c>
    </row>
    <row r="15" spans="8:12" ht="12.75">
      <c r="H15">
        <v>0.35</v>
      </c>
      <c r="I15" s="2">
        <v>2.1738935366881584</v>
      </c>
      <c r="J15" s="2">
        <v>2.3809012293466694</v>
      </c>
      <c r="K15" s="2">
        <v>3.097843388669774</v>
      </c>
      <c r="L15" s="2">
        <v>3.5624707521376284</v>
      </c>
    </row>
    <row r="16" spans="8:12" ht="12.75">
      <c r="H16">
        <v>0.4</v>
      </c>
      <c r="I16" s="2">
        <v>2.2130979347870174</v>
      </c>
      <c r="J16" s="2">
        <v>2.509652808168425</v>
      </c>
      <c r="K16" s="2">
        <v>3.175624915131886</v>
      </c>
      <c r="L16" s="2">
        <v>3.6952246637103414</v>
      </c>
    </row>
    <row r="17" spans="8:12" ht="12.75">
      <c r="H17">
        <v>0.45</v>
      </c>
      <c r="I17" s="2">
        <v>2.23857871815215</v>
      </c>
      <c r="J17" s="2">
        <v>2.6130525859995135</v>
      </c>
      <c r="K17" s="2">
        <v>3.229361498984244</v>
      </c>
      <c r="L17" s="2">
        <v>3.7941481286281906</v>
      </c>
    </row>
    <row r="18" spans="8:12" ht="12.75">
      <c r="H18">
        <v>0.5</v>
      </c>
      <c r="I18" s="2">
        <v>2.2551398784399224</v>
      </c>
      <c r="J18" s="2">
        <v>2.6960924535751944</v>
      </c>
      <c r="K18" s="2">
        <v>3.266486258235762</v>
      </c>
      <c r="L18" s="2">
        <v>3.8678623551652587</v>
      </c>
    </row>
    <row r="19" spans="8:12" ht="12.75">
      <c r="H19">
        <v>0.55</v>
      </c>
      <c r="I19" s="2">
        <v>2.265903755913665</v>
      </c>
      <c r="J19" s="2">
        <v>2.7627813744958094</v>
      </c>
      <c r="K19" s="2">
        <v>3.292134478697076</v>
      </c>
      <c r="L19" s="2">
        <v>3.9227915592572375</v>
      </c>
    </row>
    <row r="20" spans="8:12" ht="12.75">
      <c r="H20">
        <v>0.6</v>
      </c>
      <c r="I20" s="2">
        <v>2.272899706454359</v>
      </c>
      <c r="J20" s="2">
        <v>2.816338928275658</v>
      </c>
      <c r="K20" s="2">
        <v>3.309853952872664</v>
      </c>
      <c r="L20" s="2">
        <v>3.963722836758481</v>
      </c>
    </row>
    <row r="21" spans="8:12" ht="12.75">
      <c r="H21">
        <v>0.65</v>
      </c>
      <c r="I21" s="2">
        <v>2.277446703954769</v>
      </c>
      <c r="J21" s="2">
        <v>2.8593507438408836</v>
      </c>
      <c r="K21" s="2">
        <v>3.3220957286922723</v>
      </c>
      <c r="L21" s="2">
        <v>3.994223360215518</v>
      </c>
    </row>
    <row r="22" spans="8:12" ht="12.75">
      <c r="H22">
        <v>0.7</v>
      </c>
      <c r="I22" s="2">
        <v>2.2804020116214647</v>
      </c>
      <c r="J22" s="2">
        <v>2.8938933274290277</v>
      </c>
      <c r="K22" s="2">
        <v>3.3305531509460335</v>
      </c>
      <c r="L22" s="2">
        <v>4.016951258975214</v>
      </c>
    </row>
    <row r="23" spans="8:12" ht="12.75">
      <c r="H23">
        <v>0.75</v>
      </c>
      <c r="I23" s="2">
        <v>2.282322805156989</v>
      </c>
      <c r="J23" s="2">
        <v>2.9216343112787917</v>
      </c>
      <c r="K23" s="2">
        <v>3.3363960933616137</v>
      </c>
      <c r="L23" s="2">
        <v>4.03388727591796</v>
      </c>
    </row>
    <row r="24" spans="8:12" ht="12.75">
      <c r="H24">
        <v>0.8</v>
      </c>
      <c r="I24" s="2">
        <v>2.283571219272273</v>
      </c>
      <c r="J24" s="2">
        <v>2.9439129628738328</v>
      </c>
      <c r="K24" s="2">
        <v>3.3404327814974817</v>
      </c>
      <c r="L24" s="2">
        <v>4.046507389766478</v>
      </c>
    </row>
    <row r="25" spans="8:12" ht="12.75">
      <c r="H25">
        <v>0.85</v>
      </c>
      <c r="I25" s="2">
        <v>2.284382622358766</v>
      </c>
      <c r="J25" s="2">
        <v>2.9618048415318228</v>
      </c>
      <c r="K25" s="2">
        <v>3.343221590619202</v>
      </c>
      <c r="L25" s="2">
        <v>4.055911447053855</v>
      </c>
    </row>
    <row r="26" spans="8:12" ht="12.75">
      <c r="H26">
        <v>0.9</v>
      </c>
      <c r="I26" s="2">
        <v>2.2849099914109985</v>
      </c>
      <c r="J26" s="2">
        <v>2.9761737238022152</v>
      </c>
      <c r="K26" s="2">
        <v>3.3451482830104933</v>
      </c>
      <c r="L26" s="2">
        <v>4.062919014063613</v>
      </c>
    </row>
    <row r="27" spans="8:12" ht="12.75">
      <c r="H27">
        <v>0.95</v>
      </c>
      <c r="I27" s="2">
        <v>2.285252753377131</v>
      </c>
      <c r="J27" s="2">
        <v>2.9877133045051165</v>
      </c>
      <c r="K27" s="2">
        <v>3.3464793685773566</v>
      </c>
      <c r="L27" s="2">
        <v>4.068140802265836</v>
      </c>
    </row>
    <row r="28" spans="8:12" ht="12.75">
      <c r="H28">
        <v>1</v>
      </c>
      <c r="I28" s="2">
        <v>2.285475530510013</v>
      </c>
      <c r="J28" s="2">
        <v>2.996980686636374</v>
      </c>
      <c r="K28" s="2">
        <v>3.347398969855859</v>
      </c>
      <c r="L28" s="2">
        <v>4.072031891996537</v>
      </c>
    </row>
    <row r="29" spans="8:12" ht="12.75">
      <c r="H29">
        <v>1.05</v>
      </c>
      <c r="I29" s="2">
        <v>2.285620323853029</v>
      </c>
      <c r="J29" s="2">
        <v>3.0044232769503494</v>
      </c>
      <c r="K29" s="2">
        <v>3.348034290779228</v>
      </c>
      <c r="L29" s="2">
        <v>4.074931392839165</v>
      </c>
    </row>
    <row r="30" spans="8:12" ht="12.75">
      <c r="H30">
        <v>1.1</v>
      </c>
      <c r="I30" s="2">
        <v>2.285714431860932</v>
      </c>
      <c r="J30" s="2">
        <v>3.01040038567395</v>
      </c>
      <c r="K30" s="2">
        <v>3.3484732121738654</v>
      </c>
      <c r="L30" s="2">
        <v>4.077091997121833</v>
      </c>
    </row>
    <row r="31" spans="8:12" ht="12.75">
      <c r="H31">
        <v>1.15</v>
      </c>
      <c r="I31" s="2">
        <v>2.2857755970841866</v>
      </c>
      <c r="J31" s="2">
        <v>3.0152005731337725</v>
      </c>
      <c r="K31" s="2">
        <v>3.348776447882913</v>
      </c>
      <c r="L31" s="2">
        <v>4.078702002126024</v>
      </c>
    </row>
    <row r="32" spans="8:12" ht="12.75">
      <c r="H32">
        <v>1.2</v>
      </c>
      <c r="I32" s="2">
        <v>2.285815351241343</v>
      </c>
      <c r="J32" s="2">
        <v>3.019055580749488</v>
      </c>
      <c r="K32" s="2">
        <v>3.3489859430143074</v>
      </c>
      <c r="L32" s="2">
        <v>4.079901720248547</v>
      </c>
    </row>
    <row r="33" spans="8:12" ht="12.75">
      <c r="H33">
        <v>1.25</v>
      </c>
      <c r="I33" s="2">
        <v>2.2858411893389925</v>
      </c>
      <c r="J33" s="2">
        <v>3.0221515189480708</v>
      </c>
      <c r="K33" s="2">
        <v>3.349130676001778</v>
      </c>
      <c r="L33" s="2">
        <v>4.0807957072670735</v>
      </c>
    </row>
    <row r="34" spans="8:12" ht="12.75">
      <c r="H34">
        <v>1.3</v>
      </c>
      <c r="I34" s="2">
        <v>2.2858579827346497</v>
      </c>
      <c r="J34" s="2">
        <v>3.0246378521242674</v>
      </c>
      <c r="K34" s="2">
        <v>3.3492306670494103</v>
      </c>
      <c r="L34" s="2">
        <v>4.08146187440608</v>
      </c>
    </row>
    <row r="35" spans="8:12" ht="12.75">
      <c r="H35">
        <v>1.35</v>
      </c>
      <c r="I35" s="2">
        <v>2.2858688975528194</v>
      </c>
      <c r="J35" s="2">
        <v>3.026634614419421</v>
      </c>
      <c r="K35" s="2">
        <v>3.349299747428261</v>
      </c>
      <c r="L35" s="2">
        <v>4.08195827832235</v>
      </c>
    </row>
    <row r="36" spans="8:12" ht="12.75">
      <c r="H36">
        <v>1.4</v>
      </c>
      <c r="I36" s="2">
        <v>2.285875991606822</v>
      </c>
      <c r="J36" s="2">
        <v>3.0282382046789724</v>
      </c>
      <c r="K36" s="2">
        <v>3.349347472688223</v>
      </c>
      <c r="L36" s="2">
        <v>4.082328180759231</v>
      </c>
    </row>
    <row r="37" spans="8:12" ht="12.75">
      <c r="H37">
        <v>1.45</v>
      </c>
      <c r="I37" s="2">
        <v>2.285880602366379</v>
      </c>
      <c r="J37" s="2">
        <v>3.0295260403551407</v>
      </c>
      <c r="K37" s="2">
        <v>3.3493804444303636</v>
      </c>
      <c r="L37" s="2">
        <v>4.082603818819943</v>
      </c>
    </row>
    <row r="38" spans="8:12" ht="12.75">
      <c r="H38">
        <v>1.5</v>
      </c>
      <c r="I38" s="2">
        <v>2.2858835991160076</v>
      </c>
      <c r="J38" s="2">
        <v>3.0305602950339368</v>
      </c>
      <c r="K38" s="2">
        <v>3.349403223474012</v>
      </c>
      <c r="L38" s="2">
        <v>4.08280921444035</v>
      </c>
    </row>
    <row r="39" spans="8:12" ht="12.75">
      <c r="H39">
        <v>1.55</v>
      </c>
      <c r="I39" s="2">
        <v>2.285885546844624</v>
      </c>
      <c r="J39" s="2">
        <v>3.031390900025246</v>
      </c>
      <c r="K39" s="2">
        <v>3.34941896073252</v>
      </c>
      <c r="L39" s="2">
        <v>4.082962267907543</v>
      </c>
    </row>
    <row r="40" spans="8:12" ht="12.75">
      <c r="H40">
        <v>1.6</v>
      </c>
      <c r="I40" s="2">
        <v>2.285886812765116</v>
      </c>
      <c r="J40" s="2">
        <v>3.0320579549254862</v>
      </c>
      <c r="K40" s="2">
        <v>3.3494298330636494</v>
      </c>
      <c r="L40" s="2">
        <v>4.083076317874982</v>
      </c>
    </row>
    <row r="41" spans="8:12" ht="12.75">
      <c r="H41">
        <v>1.65</v>
      </c>
      <c r="I41" s="2">
        <v>2.285887635546421</v>
      </c>
      <c r="J41" s="2">
        <v>3.0325936635289628</v>
      </c>
      <c r="K41" s="2">
        <v>3.3494373443836243</v>
      </c>
      <c r="L41" s="2">
        <v>4.083161303829966</v>
      </c>
    </row>
    <row r="42" spans="8:12" ht="12.75">
      <c r="H42">
        <v>1.7</v>
      </c>
      <c r="I42" s="2">
        <v>2.2858881703107126</v>
      </c>
      <c r="J42" s="2">
        <v>3.0330238885490255</v>
      </c>
      <c r="K42" s="2">
        <v>3.349442533696486</v>
      </c>
      <c r="L42" s="2">
        <v>4.08322463232279</v>
      </c>
    </row>
    <row r="43" spans="8:12" ht="12.75">
      <c r="H43">
        <v>1.75</v>
      </c>
      <c r="I43" s="2">
        <v>2.285888517879193</v>
      </c>
      <c r="J43" s="2">
        <v>3.0333694002072042</v>
      </c>
      <c r="K43" s="2">
        <v>3.3494461188144236</v>
      </c>
      <c r="L43" s="2">
        <v>4.083271822449724</v>
      </c>
    </row>
    <row r="44" spans="8:12" ht="12.75">
      <c r="H44">
        <v>1.8</v>
      </c>
      <c r="I44" s="2">
        <v>2.2858887437803053</v>
      </c>
      <c r="J44" s="2">
        <v>3.033646878969179</v>
      </c>
      <c r="K44" s="2">
        <v>3.3494485956492124</v>
      </c>
      <c r="L44" s="2">
        <v>4.083306986843835</v>
      </c>
    </row>
    <row r="45" spans="8:12" ht="12.75">
      <c r="H45">
        <v>1.85</v>
      </c>
      <c r="I45" s="2">
        <v>2.2858888906040695</v>
      </c>
      <c r="J45" s="2">
        <v>3.0338697208372443</v>
      </c>
      <c r="K45" s="2">
        <v>3.349450306809257</v>
      </c>
      <c r="L45" s="2">
        <v>4.083333190092131</v>
      </c>
    </row>
    <row r="46" spans="8:12" ht="12.75">
      <c r="H46">
        <v>1.9</v>
      </c>
      <c r="I46" s="2">
        <v>2.285888986031744</v>
      </c>
      <c r="J46" s="2">
        <v>3.0340486840768435</v>
      </c>
      <c r="K46" s="2">
        <v>3.3494514889909324</v>
      </c>
      <c r="L46" s="2">
        <v>4.083352715815199</v>
      </c>
    </row>
    <row r="47" spans="8:12" ht="12.75">
      <c r="H47">
        <v>1.95</v>
      </c>
      <c r="I47" s="2">
        <v>2.2858890480546807</v>
      </c>
      <c r="J47" s="2">
        <v>3.0341924085995546</v>
      </c>
      <c r="K47" s="2">
        <v>3.349452305719629</v>
      </c>
      <c r="L47" s="2">
        <v>4.083367265685391</v>
      </c>
    </row>
    <row r="48" spans="8:12" ht="12.75">
      <c r="H48">
        <v>2</v>
      </c>
      <c r="I48" s="2">
        <v>2.2858890883663063</v>
      </c>
      <c r="J48" s="2">
        <v>3.034307833077089</v>
      </c>
      <c r="K48" s="2">
        <v>3.3494528699694204</v>
      </c>
      <c r="L48" s="2">
        <v>4.083378107728058</v>
      </c>
    </row>
    <row r="49" spans="8:12" ht="12.75">
      <c r="H49">
        <v>2.05</v>
      </c>
      <c r="I49" s="2">
        <v>2.2858891145667286</v>
      </c>
      <c r="J49" s="2">
        <v>3.0344005299235475</v>
      </c>
      <c r="K49" s="2">
        <v>3.349453259790212</v>
      </c>
      <c r="L49" s="2">
        <v>4.083386186830321</v>
      </c>
    </row>
    <row r="50" spans="8:12" ht="12.75">
      <c r="H50">
        <v>2.1</v>
      </c>
      <c r="I50" s="2">
        <v>2.2858891315956162</v>
      </c>
      <c r="J50" s="2">
        <v>3.034474974318072</v>
      </c>
      <c r="K50" s="2">
        <v>3.349453529104002</v>
      </c>
      <c r="L50" s="2">
        <v>4.083392207088254</v>
      </c>
    </row>
    <row r="51" spans="8:12" ht="12.75">
      <c r="H51">
        <v>2.15</v>
      </c>
      <c r="I51" s="2">
        <v>2.2858891426634917</v>
      </c>
      <c r="J51" s="2">
        <v>3.0345347602556507</v>
      </c>
      <c r="K51" s="2">
        <v>3.3494537151636448</v>
      </c>
      <c r="L51" s="2">
        <v>4.083396693169059</v>
      </c>
    </row>
    <row r="52" spans="8:12" ht="12.75">
      <c r="H52">
        <v>2.2</v>
      </c>
      <c r="I52" s="2">
        <v>2.285889149857025</v>
      </c>
      <c r="J52" s="2">
        <v>3.034582774056488</v>
      </c>
      <c r="K52" s="2">
        <v>3.3494538437058585</v>
      </c>
      <c r="L52" s="2">
        <v>4.08340003603596</v>
      </c>
    </row>
    <row r="53" spans="8:12" ht="12.75">
      <c r="H53">
        <v>2.25</v>
      </c>
      <c r="I53" s="2">
        <v>2.2858891545324407</v>
      </c>
      <c r="J53" s="2">
        <v>3.0346213337105508</v>
      </c>
      <c r="K53" s="2">
        <v>3.349453932511257</v>
      </c>
      <c r="L53" s="2">
        <v>4.083402527020767</v>
      </c>
    </row>
    <row r="54" spans="8:12" ht="12.75">
      <c r="H54">
        <v>2.3</v>
      </c>
      <c r="I54" s="2">
        <v>2.2858891575712135</v>
      </c>
      <c r="J54" s="2">
        <v>3.034652300784507</v>
      </c>
      <c r="K54" s="2">
        <v>3.3494539938638552</v>
      </c>
      <c r="L54" s="2">
        <v>4.083404383213516</v>
      </c>
    </row>
    <row r="55" spans="8:12" ht="12.75">
      <c r="H55">
        <v>2.35</v>
      </c>
      <c r="I55" s="2">
        <v>2.285889159546255</v>
      </c>
      <c r="J55" s="2">
        <v>3.0346771702936537</v>
      </c>
      <c r="K55" s="2">
        <v>3.349454036250257</v>
      </c>
      <c r="L55" s="2">
        <v>4.083405766381937</v>
      </c>
    </row>
    <row r="56" spans="8:12" ht="12.75">
      <c r="H56">
        <v>2.4</v>
      </c>
      <c r="I56" s="2">
        <v>2.285889160829927</v>
      </c>
      <c r="J56" s="2">
        <v>3.0346971428776333</v>
      </c>
      <c r="K56" s="2">
        <v>3.3494540655335654</v>
      </c>
      <c r="L56" s="2">
        <v>4.0834067970695545</v>
      </c>
    </row>
    <row r="57" spans="8:12" ht="12.75">
      <c r="H57">
        <v>2.45</v>
      </c>
      <c r="I57" s="2">
        <v>2.2858891616642465</v>
      </c>
      <c r="J57" s="2">
        <v>3.0347131827644067</v>
      </c>
      <c r="K57" s="2">
        <v>3.349454085764397</v>
      </c>
      <c r="L57" s="2">
        <v>4.083407565101089</v>
      </c>
    </row>
    <row r="58" spans="8:12" ht="12.75">
      <c r="H58">
        <v>2.5</v>
      </c>
      <c r="I58" s="2">
        <v>2.2858891622065096</v>
      </c>
      <c r="J58" s="2">
        <v>3.0347260643208425</v>
      </c>
      <c r="K58" s="2">
        <v>3.3494540997411835</v>
      </c>
      <c r="L58" s="2">
        <v>4.083408137410708</v>
      </c>
    </row>
    <row r="59" spans="8:12" ht="12.75">
      <c r="H59">
        <v>2.55</v>
      </c>
      <c r="I59" s="2">
        <v>2.285889162558952</v>
      </c>
      <c r="J59" s="2">
        <v>3.0347364094372735</v>
      </c>
      <c r="K59" s="2">
        <v>3.3494541093972647</v>
      </c>
      <c r="L59" s="2">
        <v>4.083408563875358</v>
      </c>
    </row>
    <row r="60" spans="8:12" ht="12.75">
      <c r="H60">
        <v>2.6</v>
      </c>
      <c r="I60" s="2">
        <v>2.285889162788021</v>
      </c>
      <c r="J60" s="2">
        <v>3.0347447175508546</v>
      </c>
      <c r="K60" s="2">
        <v>3.3494541160683196</v>
      </c>
      <c r="L60" s="2">
        <v>4.083408881661557</v>
      </c>
    </row>
    <row r="61" spans="8:12" ht="12.75">
      <c r="H61">
        <v>2.65</v>
      </c>
      <c r="I61" s="2">
        <v>2.2858891629369036</v>
      </c>
      <c r="J61" s="2">
        <v>3.034751389757179</v>
      </c>
      <c r="K61" s="2">
        <v>3.3494541206771222</v>
      </c>
      <c r="L61" s="2">
        <v>4.083409118464461</v>
      </c>
    </row>
    <row r="62" spans="8:12" ht="12.75">
      <c r="H62">
        <v>2.7</v>
      </c>
      <c r="I62" s="2">
        <v>2.2858891630336693</v>
      </c>
      <c r="J62" s="2">
        <v>3.034756748174201</v>
      </c>
      <c r="K62" s="2">
        <v>3.3494541238611855</v>
      </c>
      <c r="L62" s="2">
        <v>4.083409294921513</v>
      </c>
    </row>
    <row r="63" spans="8:12" ht="12.75">
      <c r="H63">
        <v>2.75</v>
      </c>
      <c r="I63" s="2">
        <v>2.285889163096562</v>
      </c>
      <c r="J63" s="2">
        <v>3.0347610514933114</v>
      </c>
      <c r="K63" s="2">
        <v>3.3494541260609454</v>
      </c>
      <c r="L63" s="2">
        <v>4.083409426410993</v>
      </c>
    </row>
    <row r="64" spans="8:12" ht="12.75">
      <c r="H64">
        <v>2.8</v>
      </c>
      <c r="I64" s="2">
        <v>2.285889163137439</v>
      </c>
      <c r="J64" s="2">
        <v>3.034764507468329</v>
      </c>
      <c r="K64" s="2">
        <v>3.349454127580684</v>
      </c>
      <c r="L64" s="2">
        <v>4.08340952439225</v>
      </c>
    </row>
    <row r="65" spans="8:12" ht="12.75">
      <c r="H65">
        <v>2.85</v>
      </c>
      <c r="I65" s="2">
        <v>2.285889163164007</v>
      </c>
      <c r="J65" s="2">
        <v>3.0347672829453547</v>
      </c>
      <c r="K65" s="2">
        <v>3.349454128630619</v>
      </c>
      <c r="L65" s="2">
        <v>4.083409597404376</v>
      </c>
    </row>
    <row r="66" spans="8:12" ht="12.75">
      <c r="H66">
        <v>2.9</v>
      </c>
      <c r="I66" s="2">
        <v>2.2858891631812748</v>
      </c>
      <c r="J66" s="2">
        <v>3.0347695119176943</v>
      </c>
      <c r="K66" s="2">
        <v>3.3494541293559834</v>
      </c>
      <c r="L66" s="2">
        <v>4.083409651810401</v>
      </c>
    </row>
    <row r="67" spans="8:12" ht="12.75">
      <c r="H67">
        <v>2.95</v>
      </c>
      <c r="I67" s="2">
        <v>2.285889163192498</v>
      </c>
      <c r="J67" s="2">
        <v>3.034771301994731</v>
      </c>
      <c r="K67" s="2">
        <v>3.3494541298571128</v>
      </c>
      <c r="L67" s="2">
        <v>4.0834096923518235</v>
      </c>
    </row>
    <row r="68" spans="8:12" ht="12.75">
      <c r="H68">
        <v>3</v>
      </c>
      <c r="I68" s="2">
        <v>2.2858891631997924</v>
      </c>
      <c r="J68" s="2">
        <v>3.034772739597047</v>
      </c>
      <c r="K68" s="2">
        <v>3.3494541302033256</v>
      </c>
      <c r="L68" s="2">
        <v>4.083409722561841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Patton</dc:creator>
  <cp:keywords/>
  <dc:description/>
  <cp:lastModifiedBy>FIRST Place</cp:lastModifiedBy>
  <cp:lastPrinted>2001-03-05T14:21:32Z</cp:lastPrinted>
  <dcterms:created xsi:type="dcterms:W3CDTF">2001-09-05T02:02:36Z</dcterms:created>
  <dcterms:modified xsi:type="dcterms:W3CDTF">2004-08-20T20:09:09Z</dcterms:modified>
  <cp:category/>
  <cp:version/>
  <cp:contentType/>
  <cp:contentStatus/>
</cp:coreProperties>
</file>